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7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96" i="1" l="1"/>
  <c r="S45" i="1" l="1"/>
  <c r="O51" i="1" l="1"/>
  <c r="S46" i="1" l="1"/>
  <c r="T46" i="1" l="1"/>
  <c r="T45" i="1"/>
  <c r="T47" i="1" l="1"/>
  <c r="N93" i="1"/>
  <c r="N89" i="1"/>
  <c r="N90" i="1"/>
  <c r="N91" i="1"/>
  <c r="N83" i="1"/>
  <c r="N84" i="1"/>
  <c r="N82" i="1"/>
  <c r="N76" i="1"/>
  <c r="N77" i="1"/>
  <c r="N78" i="1"/>
  <c r="N75" i="1"/>
  <c r="N56" i="1"/>
  <c r="N58" i="1"/>
  <c r="N50" i="1"/>
  <c r="N106" i="1"/>
  <c r="N105" i="1"/>
  <c r="N100" i="1"/>
  <c r="N101" i="1"/>
  <c r="N99" i="1"/>
  <c r="N68" i="1"/>
  <c r="N70" i="1"/>
  <c r="N64" i="1"/>
  <c r="N65" i="1"/>
  <c r="N66" i="1"/>
  <c r="N67" i="1"/>
  <c r="N63" i="1"/>
  <c r="N54" i="1"/>
  <c r="N55" i="1"/>
  <c r="N57" i="1"/>
  <c r="N49" i="1"/>
  <c r="N45" i="1"/>
  <c r="N46" i="1"/>
  <c r="N47" i="1"/>
  <c r="N48" i="1"/>
  <c r="N43" i="1"/>
  <c r="N41" i="1"/>
  <c r="N40" i="1"/>
  <c r="N11" i="1" l="1"/>
  <c r="N10" i="1"/>
  <c r="O25" i="1" l="1"/>
  <c r="O24" i="1"/>
  <c r="O79" i="1" l="1"/>
  <c r="Q79" i="1" l="1"/>
  <c r="N79" i="1"/>
  <c r="Q76" i="1"/>
  <c r="Q78" i="1"/>
  <c r="Q75" i="1"/>
  <c r="Q77" i="1"/>
  <c r="Q22" i="1"/>
  <c r="O30" i="1"/>
  <c r="O32" i="1" s="1"/>
  <c r="O85" i="1" l="1"/>
  <c r="N85" i="1" s="1"/>
  <c r="O102" i="1"/>
  <c r="N102" i="1" s="1"/>
  <c r="O107" i="1"/>
  <c r="N51" i="1"/>
  <c r="O59" i="1"/>
  <c r="Q20" i="1"/>
  <c r="Q21" i="1"/>
  <c r="Q17" i="1"/>
  <c r="Q18" i="1"/>
  <c r="Q14" i="1"/>
  <c r="Q13" i="1"/>
  <c r="N59" i="1" l="1"/>
  <c r="O62" i="1"/>
  <c r="N62" i="1" s="1"/>
  <c r="Q50" i="1"/>
  <c r="Q48" i="1"/>
  <c r="Q46" i="1"/>
  <c r="Q44" i="1"/>
  <c r="Q41" i="1"/>
  <c r="Q51" i="1"/>
  <c r="Q49" i="1"/>
  <c r="Q47" i="1"/>
  <c r="Q45" i="1"/>
  <c r="Q43" i="1"/>
  <c r="Q40" i="1"/>
  <c r="O88" i="1"/>
  <c r="O112" i="1"/>
  <c r="O69" i="1"/>
  <c r="P11" i="1"/>
  <c r="P10" i="1"/>
  <c r="Q10" i="1"/>
  <c r="Q11" i="1"/>
  <c r="O71" i="1" l="1"/>
  <c r="N71" i="1" s="1"/>
  <c r="N69" i="1"/>
  <c r="O92" i="1"/>
  <c r="N88" i="1"/>
  <c r="N92" i="1" l="1"/>
  <c r="O109" i="1"/>
  <c r="O94" i="1"/>
  <c r="N94" i="1" s="1"/>
  <c r="O110" i="1" l="1"/>
  <c r="P112" i="1"/>
  <c r="O8" i="1" l="1"/>
  <c r="Q8" i="1" s="1"/>
  <c r="O7" i="1"/>
  <c r="O34" i="1" l="1"/>
  <c r="O35" i="1" s="1"/>
  <c r="N7" i="1"/>
  <c r="N8" i="1"/>
  <c r="P8" i="1" s="1"/>
  <c r="Q7" i="1"/>
  <c r="Q34" i="1" s="1"/>
  <c r="P7" i="1" l="1"/>
  <c r="P34" i="1" s="1"/>
  <c r="L120" i="1"/>
  <c r="N120" i="1" s="1"/>
  <c r="N34" i="1"/>
  <c r="O113" i="1"/>
  <c r="Q35" i="1"/>
</calcChain>
</file>

<file path=xl/sharedStrings.xml><?xml version="1.0" encoding="utf-8"?>
<sst xmlns="http://schemas.openxmlformats.org/spreadsheetml/2006/main" count="225" uniqueCount="208">
  <si>
    <t>1.</t>
  </si>
  <si>
    <t>Приходная часть</t>
  </si>
  <si>
    <t>1.1</t>
  </si>
  <si>
    <t>Целевые поступления граждан</t>
  </si>
  <si>
    <t>1.1.1</t>
  </si>
  <si>
    <t>Техническая эксплуатация ИОП, объектов инфраструктуры</t>
  </si>
  <si>
    <t>1.1.1.1</t>
  </si>
  <si>
    <t>1.1.1.2</t>
  </si>
  <si>
    <t>1.1.2</t>
  </si>
  <si>
    <t>Создание, приобретение, модернизация, реконструкция ИОП</t>
  </si>
  <si>
    <t>1.1.2.1</t>
  </si>
  <si>
    <t>1.2.2.2</t>
  </si>
  <si>
    <t>1.2</t>
  </si>
  <si>
    <t>Внереализационные доходы</t>
  </si>
  <si>
    <t>1.3</t>
  </si>
  <si>
    <t>Неиспользованные средства по предыдущей смете</t>
  </si>
  <si>
    <t>1.3.1</t>
  </si>
  <si>
    <t>Средства связанные с технической эксплуатацией ИОП</t>
  </si>
  <si>
    <t>1.3.1.1</t>
  </si>
  <si>
    <t>1.3.1.2</t>
  </si>
  <si>
    <t>1.3.2</t>
  </si>
  <si>
    <t>Средства связанные с созданием, приобретением, модернизацией, реконструкцией ИОП</t>
  </si>
  <si>
    <t>1.3.2.1</t>
  </si>
  <si>
    <t>1.3.2.2</t>
  </si>
  <si>
    <t>1.4</t>
  </si>
  <si>
    <t>2.</t>
  </si>
  <si>
    <t>Расходная часть</t>
  </si>
  <si>
    <t>1.2.1</t>
  </si>
  <si>
    <t>1.2.2</t>
  </si>
  <si>
    <t>За сотку</t>
  </si>
  <si>
    <t>За 1500
 соток</t>
  </si>
  <si>
    <t>За 230
участков</t>
  </si>
  <si>
    <t>За участок
 6 соток</t>
  </si>
  <si>
    <t>№ п/п</t>
  </si>
  <si>
    <t>Наименование статей сметы, отношение к статьям ФЗ-66, НК</t>
  </si>
  <si>
    <t>Примечание</t>
  </si>
  <si>
    <t>Взнос
 за сотку</t>
  </si>
  <si>
    <t>Размер участка
 в сотках</t>
  </si>
  <si>
    <t>Сумма взноса
 за участок</t>
  </si>
  <si>
    <t xml:space="preserve">Пояснения: </t>
  </si>
  <si>
    <t>1.5</t>
  </si>
  <si>
    <t>1.5.1</t>
  </si>
  <si>
    <t>1.5.2</t>
  </si>
  <si>
    <t>1.5.3</t>
  </si>
  <si>
    <t>1.5.3.1</t>
  </si>
  <si>
    <t>1.5.3.2</t>
  </si>
  <si>
    <t>Итого: приходная часть без электроэнергии и содержания ЛЭП</t>
  </si>
  <si>
    <t>Итого: приходная часть с электроэнергией и содержанием ЛЭП</t>
  </si>
  <si>
    <t>За СНТ</t>
  </si>
  <si>
    <t>2.1</t>
  </si>
  <si>
    <t>2.2</t>
  </si>
  <si>
    <t>2.3</t>
  </si>
  <si>
    <t>Внереализационные расходы</t>
  </si>
  <si>
    <t>2.1.1</t>
  </si>
  <si>
    <t>Материальные расходы (НК ст. 254)</t>
  </si>
  <si>
    <t>2.1.2</t>
  </si>
  <si>
    <t>Расходы на оплату труда (НК ст. 255)</t>
  </si>
  <si>
    <t>2.1.3</t>
  </si>
  <si>
    <t>Прочие расходы (НК ст. 264)</t>
  </si>
  <si>
    <t>2.1.1.2</t>
  </si>
  <si>
    <t>2.1.1.1</t>
  </si>
  <si>
    <t>2.1.1.3</t>
  </si>
  <si>
    <t>2.1.1.4</t>
  </si>
  <si>
    <t>Благоустройство земель общего пользования</t>
  </si>
  <si>
    <t>3. Приобретение материалов на хозяйственные нужды (НК ст. 254, пп. 1.2 и 1.3)</t>
  </si>
  <si>
    <t>2.1.3.3</t>
  </si>
  <si>
    <t>2. Сбор и вывоз ТБО в год, Договор 09-111 от 01.06.12 г. с УК-5 (НК ст. 254 пп. 1.7)</t>
  </si>
  <si>
    <t>1. Скашивание травы, вырубка деревьев, кустарников (НК ст. 254 пп. 1.7)</t>
  </si>
  <si>
    <t>4. Чистка русла ручья  (НК ст. 254 пп. 1.7)</t>
  </si>
  <si>
    <t>Расходы на юридические, информационные, консультационные услуги (НК ст. 264 пп. 1.14 и 1.15)</t>
  </si>
  <si>
    <t>2.1.3.4</t>
  </si>
  <si>
    <t>Расходы на аудит (НК ст. 264 пп. 1.17)</t>
  </si>
  <si>
    <t>Расходы на канцелярские товары (НК ст. 264 пп. 1.24)</t>
  </si>
  <si>
    <t>Расходы на почтовые, телефонные и другие подобные услуги, расходы на оплату услуг связи, электронной почты, информационных систем: Интернет и иные аналогичные системы (НК ст. 264 пп. 1.25)</t>
  </si>
  <si>
    <t>2.3.1</t>
  </si>
  <si>
    <t>2.3.2</t>
  </si>
  <si>
    <t>Расходы на организацию и проведение общих собраний членов СНТ, подготовка и рассылка информации, уведомлений
 (НК ст. 265 пп. 1.16)</t>
  </si>
  <si>
    <t>Судебные расходы и арбитражные сборы (НК ст. 265 пп.1.10)</t>
  </si>
  <si>
    <t>Расходы на услуги банка, Договор № … от ……………….. (НК ст. 265 пп. 1.15)</t>
  </si>
  <si>
    <t>Ремонт проезжей части улиц, проездов</t>
  </si>
  <si>
    <t>2.1.1.5</t>
  </si>
  <si>
    <t>Содержание и ремонт сторожки правления (НК ст. 254 пп. 1.5)</t>
  </si>
  <si>
    <t>Расходы, не учитываемые при налогообложении (НК ст. 270)</t>
  </si>
  <si>
    <t>2.1.1.6</t>
  </si>
  <si>
    <t>Содержание и ремонт бензокосы, бензопилы (НК ст. 254 пп. )</t>
  </si>
  <si>
    <t>2.1.3.5</t>
  </si>
  <si>
    <t xml:space="preserve"> Межевание земель общего пользования в рамках подготовки к приватизации
 (Договор 131 от 19.07.13 г.) (НК ст. 264 пп.1.40)</t>
  </si>
  <si>
    <t>2.1.3.2</t>
  </si>
  <si>
    <t>Приобретение расходных материалов для оргтехники</t>
  </si>
  <si>
    <t>2.1.2.1</t>
  </si>
  <si>
    <t>2.1.2.2</t>
  </si>
  <si>
    <t>Заработная плата председателя правления</t>
  </si>
  <si>
    <t>2.1.2.3</t>
  </si>
  <si>
    <t>Заработная плата заместителя председателя правления</t>
  </si>
  <si>
    <t>Заработная плата бухгалтера-кассира</t>
  </si>
  <si>
    <t>8000 в месяц</t>
  </si>
  <si>
    <t>7000 в месяц</t>
  </si>
  <si>
    <t>2000 в месяц</t>
  </si>
  <si>
    <t>Итого: фонд заработной платы СНТ</t>
  </si>
  <si>
    <t>2.1.2.4</t>
  </si>
  <si>
    <t xml:space="preserve">Заработная плата электрика </t>
  </si>
  <si>
    <t>Итого: материальные расходы по СНТ</t>
  </si>
  <si>
    <t>Расходы на компенсацию за использование для служебных поездок личных легковых автомобилей сверх
 норм таких расходов, установленных Правительством Российской Федерации (НК ст. 270 п. 38)</t>
  </si>
  <si>
    <t>2.1.3.1</t>
  </si>
  <si>
    <t>Расходы по налогам и сборам, страховым взносам в Фонд обязательного Пенсионного страхования,
медицинского страхования</t>
  </si>
  <si>
    <t>2.1.4</t>
  </si>
  <si>
    <t>Непредвиденные расходы по п. 2.1 Сметы</t>
  </si>
  <si>
    <t>Расходы на оплату потреблённой электроэнергии по агентским договорам с потребителями (НК ст. 270 п. 9)</t>
  </si>
  <si>
    <t>Расходы на поощрение активных членов СНТ и индивидуалов (НК ст. 270 п. 21, 22)</t>
  </si>
  <si>
    <t xml:space="preserve">Итого: Расходы по ст. 270 </t>
  </si>
  <si>
    <t>Итого: Внереализационные расходы</t>
  </si>
  <si>
    <t>2.2.1</t>
  </si>
  <si>
    <t>2.2.2</t>
  </si>
  <si>
    <t>2.2.3</t>
  </si>
  <si>
    <t>Итого: Расходы по всем пунктам сметы</t>
  </si>
  <si>
    <t>Итого: Прочие расходы</t>
  </si>
  <si>
    <t>Заработная плата бухгалтера-кассира по платежам за э/э</t>
  </si>
  <si>
    <t>2.1.1.7</t>
  </si>
  <si>
    <t>Из взносов на содержание по п. 1.5.2 Сметы</t>
  </si>
  <si>
    <t>Сумма взноса</t>
  </si>
  <si>
    <t>Итого: Доходы по всем пунктам сметы</t>
  </si>
  <si>
    <t>Расходы, связанные с содержанием и эксплуатацией, ремонтом, техническим обслуживанием ИОП,
 поддержание его в исправном (актуальном) состоянии (НК ст. 253 пп. 1.2)</t>
  </si>
  <si>
    <t>Непредвиденные расходы по п. 2.2 Сметы</t>
  </si>
  <si>
    <t>Расчет целевых взносов
 с одного участника</t>
  </si>
  <si>
    <t>1.5.4</t>
  </si>
  <si>
    <t>2.2.1.1</t>
  </si>
  <si>
    <t>2.2.1.2</t>
  </si>
  <si>
    <t>Заработная плата председателя комиссии по контролю за энергоснабжением</t>
  </si>
  <si>
    <t>Расходы на компенсацию за использование для служебных поездок личных легковых автомобилей в пределах
 норм таких расходов, установленных Правительством Российской Федерации (НК ст. 270 п. 11)</t>
  </si>
  <si>
    <t>Расходы, связанные с реализацией работ, оказанием услуг, имущественных прав граждан, созданием, приобретением ИОП
(НК ст. 253 пп. 1.1)</t>
  </si>
  <si>
    <t>Целевые поступления граждан за электроэнергию и эксплуатацию ЛЭП, включая целевые взносы</t>
  </si>
  <si>
    <t>1.5.5</t>
  </si>
  <si>
    <t>Итого: за потребляемую электроэнергию, содержание и техническую эксплуатацию ЛЭП, включая целевые взносы</t>
  </si>
  <si>
    <t>Итого: расходы по производству и реализации по п. 2.1 и 2.2 сметы</t>
  </si>
  <si>
    <t>2. Зелёным выделены забалансовые доходы и расходы по электроэнергии, оплачиваемые из целевых поступлений потребителей э/э</t>
  </si>
  <si>
    <t>2.2.2.1</t>
  </si>
  <si>
    <t>2.2.2.2</t>
  </si>
  <si>
    <t>2.2.2.3</t>
  </si>
  <si>
    <t>2.2.3.1</t>
  </si>
  <si>
    <t>2.2.3.2</t>
  </si>
  <si>
    <t>2.2.3.4</t>
  </si>
  <si>
    <t>2.2.3.5</t>
  </si>
  <si>
    <t>2.2.4</t>
  </si>
  <si>
    <t>Итого: Расходы по эксплуатации и содержанию имущества общего пользования по п. 2.1 сметы</t>
  </si>
  <si>
    <t>Итого: расходы по производству и реализации по п. 2.2 сметы</t>
  </si>
  <si>
    <t>Если в проекте участвует меньшее число
 граждан, чем есть в СНТ, то используется
 формула из яч. N11 аналогично п. 1.1.2.1</t>
  </si>
  <si>
    <t>3. Красным выделены итоговые цифры по разделам сметы, жирным итоговые цифры по разделам согласно НК</t>
  </si>
  <si>
    <t>4. Формула для расчета взносов по индивидуальному садовому участку гражданина:</t>
  </si>
  <si>
    <t>Расходы на ремонт ЛЭП (расфазировка потребителей, маркировка опор, составление актов 
технологического подключения)</t>
  </si>
  <si>
    <t>Долги по целевым взносам, платежам, пеня членов СНТ и целевым взносам индивидуалов (НК с. 250 п. 3)</t>
  </si>
  <si>
    <t>Долги по взносам, платежам, пеня по членским взносам и взносам индивидуалов (НК ст. 250 п. 3)</t>
  </si>
  <si>
    <t>На краткосрочном депозите в банке + 
на текущем счету в банке (% НК ст. 250, п. 6)</t>
  </si>
  <si>
    <t>Другие поступления согласно главе 7, статье 4, п. 2  ФЗ-66, НК ст. 251 п. 2</t>
  </si>
  <si>
    <t>Неиспользованные целевые взносы членов СНТ, поступившие в качестве доли в общей
 собственности на ЛЭП (НК ст. 251 п. 2.1)</t>
  </si>
  <si>
    <t>Долги за потребляемую электроэнергию (НК ст. 250 п. 3)</t>
  </si>
  <si>
    <t>Долги за содержание и эксплуатацию ЛЭП (НК ст. 250 п. 3)</t>
  </si>
  <si>
    <t>Долги потребителей за прошлый период (НК ст. 250 п. 3)</t>
  </si>
  <si>
    <t>Неиспользованные членские взносы (НК ст. 251 п. 2.1)</t>
  </si>
  <si>
    <t>Неиспользованные взносы индивидуалов (НК ст. 251 п. 2.1)</t>
  </si>
  <si>
    <t>Неиспользованные целевые взносы членов СНТ (НК ст. 251 п. 2.1)</t>
  </si>
  <si>
    <t>Неиспользованные целевые взносы по договорам с индивидуалами (НК ст. 251 п. 2.1)</t>
  </si>
  <si>
    <t>Членские взносы членов СНТ (НК ст. 251 п. 2.1)</t>
  </si>
  <si>
    <t>Целевые взносы членов СНТ (НК ст. 251 п. 2.1)</t>
  </si>
  <si>
    <t>Взнос за содержание и эксплуатацию ЛЭП, в т.ч. резерв на аварии (НК ст. 251 п. 2.1)</t>
  </si>
  <si>
    <t>Целевые взносы за долевое участие в общей долевой собственности на ЛЭП (НК ст. 251 п. 2.1)</t>
  </si>
  <si>
    <t>Платежи за потребяемую электроэнергию (НК ст. 251 п. 2.1)</t>
  </si>
  <si>
    <t>1. Синим цветом выделены исходные цифры для расчета взносов и платежей, а также расходы по СНТ.</t>
  </si>
  <si>
    <t>Итого: Фонд заработной платы по всем расходам СНТ</t>
  </si>
  <si>
    <t>Процент от расходов</t>
  </si>
  <si>
    <t>2.2.1.3</t>
  </si>
  <si>
    <t>2.2.1.4</t>
  </si>
  <si>
    <t>% от общей стоимости</t>
  </si>
  <si>
    <t>Взносы рассчитываются: сумма / 230 участков
*150 участков членов СНТ и аналогично на 80 
индивидуалов, исключая расходы на ЛЭП</t>
  </si>
  <si>
    <t>сумма ячейки + 20% + 0,2% от ФОТ</t>
  </si>
  <si>
    <t>Приобретение и установка 100 метров кабеля СИП-25 для модернизации ЛЭП по фидеру 10-250/50-3</t>
  </si>
  <si>
    <t xml:space="preserve">Приобретение и установка 10 крюков для ж/б опор </t>
  </si>
  <si>
    <t xml:space="preserve">Расходы на подготовку, сбор документов по переходу на прямые договоры с садоводами в СНТ </t>
  </si>
  <si>
    <t>84 потребителя э/э по состоянию на 01.09.14 г.</t>
  </si>
  <si>
    <t>840 000 (квт/ч в год по договору 9034 от
 27.05.97 г.) * 3,46 (тариф) + 2,1% (внутренние 
потери в ЛЭП)</t>
  </si>
  <si>
    <t>84 потребителя * 1080 руб. в год</t>
  </si>
  <si>
    <t>Себестоимость
за сотку</t>
  </si>
  <si>
    <t>Себестоимость
за СНТ</t>
  </si>
  <si>
    <t>Ремонт - 4500, снабжение э/э - 1500 руб./год</t>
  </si>
  <si>
    <t>Сумма складывается из платежей 85 
собственников ЛЭП</t>
  </si>
  <si>
    <t>4800 в месяц оплачивается из взносов 85 
потребителей э/э по состоянию на 01.09.14 г. 
по п. 1.5.2 Сметы</t>
  </si>
  <si>
    <t>85 потребителя по 15 руб./мес.
 из взносов по п. 1.5.2 Сметы</t>
  </si>
  <si>
    <t>Плата за пользование ИОП по договорам с индивидуалами (НК ст. 251 п. 2.1)</t>
  </si>
  <si>
    <t>Плата за пользование (Целевые взносы) по договорам с индивидуалами (НК ст. 251 п. 2.1)</t>
  </si>
  <si>
    <t>Сумма за СНТ</t>
  </si>
  <si>
    <t>Расчёт платежа
 за мусор</t>
  </si>
  <si>
    <r>
      <t>Если в проекте участвует меньшее число
 граждан, чем есть в СНТ, то используется
 формула из яч. N10 c учетом количества
 участников при условии равных долей в
 создаваемой собственности (т.е. сумма
 взносов участников/</t>
    </r>
    <r>
      <rPr>
        <sz val="11"/>
        <color rgb="FFFF0000"/>
        <rFont val="Arial Cyr"/>
        <family val="2"/>
        <charset val="204"/>
      </rPr>
      <t>количество участников - исправляется в формуле</t>
    </r>
    <r>
      <rPr>
        <sz val="11"/>
        <color theme="1"/>
        <rFont val="Arial Cyr"/>
        <family val="2"/>
        <charset val="204"/>
      </rPr>
      <t>)</t>
    </r>
  </si>
  <si>
    <r>
      <t xml:space="preserve">Итого: Расходы по всем пунктам сметы </t>
    </r>
    <r>
      <rPr>
        <b/>
        <u/>
        <sz val="11"/>
        <color rgb="FF00B050"/>
        <rFont val="Arial Cyr"/>
        <family val="2"/>
        <charset val="204"/>
      </rPr>
      <t>без учета э/э</t>
    </r>
    <r>
      <rPr>
        <b/>
        <sz val="11"/>
        <color rgb="FFFF0000"/>
        <rFont val="Arial Cyr"/>
        <family val="2"/>
        <charset val="204"/>
      </rPr>
      <t xml:space="preserve"> (цифра исходная для расчета членских взносов и взносов индивидуалов </t>
    </r>
  </si>
  <si>
    <t>6 членов СНТ, планирующих подключение по 
состоянию на 01.09.14 г. (взнос определен 
общим собранием потребителей ……….. 
Протокол … с распределением по лицевым 
счетам потребителей</t>
  </si>
  <si>
    <t>По легк. автомобилям с объемом двигателя 
до 2000 куб. см включительно норматив равен 
1200 руб., свыше 2000 куб. см – 1500 руб. 
в месяц (постановление Правительства РФ 
от 8 февраля 2002 г. № 92)</t>
  </si>
  <si>
    <t>Часть член. взносов и взносов индивидуалов</t>
  </si>
  <si>
    <t>Сумма складывается из платежей всех садо-
водов и доп. платежей 85 собственников ЛЭП</t>
  </si>
  <si>
    <t>Сумма доходов отличается от расходн. части 
в сторону увеличения из-за неоплачен. взносов и платежей должников</t>
  </si>
  <si>
    <t>Примерно на 01.10.14 г.</t>
  </si>
  <si>
    <t>ПМЖ в СНТ платят: 
28066,08/150*1,6=411 руб.
Непроживающие в СНТ платят: 
28066,08/150*0,7=75 руб.</t>
  </si>
  <si>
    <t>Приобретение МФУ с лазерным устрйством для печати</t>
  </si>
  <si>
    <t>Для окончательного расчета необходимо добавить 
"Сбор и вывоз ТБО" для ПМЖ-411 руб.; 
для дачников-75 руб.</t>
  </si>
  <si>
    <t>В общей сумме 
расходов сбор и 
вывоз ТБО не включен</t>
  </si>
  <si>
    <t>Число подключаемых</t>
  </si>
  <si>
    <t>84 договора с потребителями по состоянию на 01.09.14 г.</t>
  </si>
  <si>
    <t>167 участков</t>
  </si>
  <si>
    <t>63 участка</t>
  </si>
  <si>
    <t>в т.ч. Консульт. услуги Союза садоводов</t>
  </si>
  <si>
    <t>Приходно-расходная смета СНТ "Пищевик" на 2015 год,
 утверждена решением общего собрания 28.09.2014 г., протокол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</si>
</sst>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Cyr"/>
      <family val="2"/>
      <charset val="204"/>
    </font>
    <font>
      <b/>
      <sz val="12"/>
      <color theme="1"/>
      <name val="Arial Cyr"/>
      <family val="2"/>
      <charset val="204"/>
    </font>
    <font>
      <sz val="12"/>
      <color rgb="FFFF0000"/>
      <name val="Arial Cyr"/>
      <family val="2"/>
      <charset val="204"/>
    </font>
    <font>
      <b/>
      <sz val="14"/>
      <color theme="1"/>
      <name val="Arial Cyr"/>
      <family val="2"/>
      <charset val="204"/>
    </font>
    <font>
      <sz val="11"/>
      <color theme="1"/>
      <name val="Arial Cyr"/>
      <family val="2"/>
      <charset val="204"/>
    </font>
    <font>
      <b/>
      <sz val="11"/>
      <color theme="1"/>
      <name val="Arial Cyr"/>
      <family val="2"/>
      <charset val="204"/>
    </font>
    <font>
      <u/>
      <sz val="11"/>
      <color theme="1"/>
      <name val="Arial Cyr"/>
      <family val="2"/>
      <charset val="204"/>
    </font>
    <font>
      <sz val="11"/>
      <color rgb="FF0070C0"/>
      <name val="Arial Cyr"/>
      <family val="2"/>
      <charset val="204"/>
    </font>
    <font>
      <sz val="11"/>
      <color rgb="FFFF0000"/>
      <name val="Arial Cyr"/>
      <family val="2"/>
      <charset val="204"/>
    </font>
    <font>
      <b/>
      <sz val="11"/>
      <color rgb="FF00B050"/>
      <name val="Arial Cyr"/>
      <family val="2"/>
      <charset val="204"/>
    </font>
    <font>
      <u/>
      <sz val="11"/>
      <color rgb="FF00B050"/>
      <name val="Arial Cyr"/>
      <family val="2"/>
      <charset val="204"/>
    </font>
    <font>
      <sz val="11"/>
      <color rgb="FF00B050"/>
      <name val="Arial Cyr"/>
      <family val="2"/>
      <charset val="204"/>
    </font>
    <font>
      <b/>
      <sz val="11"/>
      <color rgb="FFFF0000"/>
      <name val="Arial Cyr"/>
      <family val="2"/>
      <charset val="204"/>
    </font>
    <font>
      <sz val="11"/>
      <name val="Arial Cyr"/>
      <family val="2"/>
      <charset val="204"/>
    </font>
    <font>
      <b/>
      <u/>
      <sz val="11"/>
      <color rgb="FF00B050"/>
      <name val="Arial Cyr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3" fillId="0" borderId="0" xfId="0" applyFont="1"/>
    <xf numFmtId="0" fontId="1" fillId="12" borderId="0" xfId="0" applyFont="1" applyFill="1"/>
    <xf numFmtId="49" fontId="2" fillId="13" borderId="17" xfId="0" applyNumberFormat="1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 wrapText="1"/>
    </xf>
    <xf numFmtId="0" fontId="1" fillId="13" borderId="15" xfId="0" applyFont="1" applyFill="1" applyBorder="1" applyAlignment="1">
      <alignment horizontal="left" vertical="center"/>
    </xf>
    <xf numFmtId="0" fontId="1" fillId="13" borderId="16" xfId="0" applyFont="1" applyFill="1" applyBorder="1" applyAlignment="1">
      <alignment horizontal="left" vertical="center"/>
    </xf>
    <xf numFmtId="0" fontId="2" fillId="13" borderId="32" xfId="0" applyFont="1" applyFill="1" applyBorder="1" applyAlignment="1">
      <alignment horizontal="center" vertical="center"/>
    </xf>
    <xf numFmtId="0" fontId="2" fillId="13" borderId="38" xfId="0" applyFont="1" applyFill="1" applyBorder="1" applyAlignment="1">
      <alignment horizontal="center" vertical="center" wrapText="1"/>
    </xf>
    <xf numFmtId="0" fontId="1" fillId="11" borderId="0" xfId="0" applyFont="1" applyFill="1" applyAlignment="1">
      <alignment horizontal="left" vertical="center"/>
    </xf>
    <xf numFmtId="0" fontId="1" fillId="11" borderId="0" xfId="0" applyFont="1" applyFill="1"/>
    <xf numFmtId="0" fontId="1" fillId="0" borderId="0" xfId="0" applyFont="1" applyFill="1"/>
    <xf numFmtId="0" fontId="5" fillId="10" borderId="17" xfId="0" applyFont="1" applyFill="1" applyBorder="1" applyAlignment="1">
      <alignment horizontal="left" vertical="center"/>
    </xf>
    <xf numFmtId="0" fontId="6" fillId="10" borderId="15" xfId="0" applyFont="1" applyFill="1" applyBorder="1" applyAlignment="1">
      <alignment horizontal="left" vertical="center"/>
    </xf>
    <xf numFmtId="0" fontId="5" fillId="10" borderId="15" xfId="0" applyFont="1" applyFill="1" applyBorder="1" applyAlignment="1">
      <alignment horizontal="left" vertical="center"/>
    </xf>
    <xf numFmtId="0" fontId="5" fillId="10" borderId="32" xfId="0" applyFont="1" applyFill="1" applyBorder="1" applyAlignment="1">
      <alignment horizontal="left" vertical="center"/>
    </xf>
    <xf numFmtId="0" fontId="5" fillId="10" borderId="38" xfId="0" applyFont="1" applyFill="1" applyBorder="1" applyAlignment="1">
      <alignment horizontal="left" vertical="center"/>
    </xf>
    <xf numFmtId="0" fontId="5" fillId="10" borderId="16" xfId="0" applyFont="1" applyFill="1" applyBorder="1" applyAlignment="1">
      <alignment horizontal="left" vertical="center"/>
    </xf>
    <xf numFmtId="49" fontId="5" fillId="4" borderId="13" xfId="0" applyNumberFormat="1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0" fontId="5" fillId="4" borderId="39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49" fontId="5" fillId="4" borderId="44" xfId="0" applyNumberFormat="1" applyFont="1" applyFill="1" applyBorder="1" applyAlignment="1">
      <alignment horizontal="left" vertical="center"/>
    </xf>
    <xf numFmtId="0" fontId="5" fillId="4" borderId="45" xfId="0" applyFont="1" applyFill="1" applyBorder="1" applyAlignment="1">
      <alignment horizontal="left" vertical="center"/>
    </xf>
    <xf numFmtId="0" fontId="5" fillId="4" borderId="41" xfId="0" applyFont="1" applyFill="1" applyBorder="1" applyAlignment="1">
      <alignment horizontal="left" vertical="center"/>
    </xf>
    <xf numFmtId="0" fontId="8" fillId="4" borderId="42" xfId="0" applyFont="1" applyFill="1" applyBorder="1" applyAlignment="1">
      <alignment horizontal="left" vertical="center"/>
    </xf>
    <xf numFmtId="0" fontId="5" fillId="4" borderId="42" xfId="0" applyFont="1" applyFill="1" applyBorder="1" applyAlignment="1">
      <alignment horizontal="left" vertical="center"/>
    </xf>
    <xf numFmtId="0" fontId="5" fillId="4" borderId="46" xfId="0" applyFont="1" applyFill="1" applyBorder="1" applyAlignment="1">
      <alignment horizontal="left" vertical="center"/>
    </xf>
    <xf numFmtId="49" fontId="5" fillId="4" borderId="47" xfId="0" applyNumberFormat="1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49" fontId="5" fillId="6" borderId="13" xfId="0" applyNumberFormat="1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0" fontId="5" fillId="6" borderId="31" xfId="0" applyFont="1" applyFill="1" applyBorder="1" applyAlignment="1">
      <alignment horizontal="left" vertical="center"/>
    </xf>
    <xf numFmtId="0" fontId="5" fillId="6" borderId="39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49" fontId="5" fillId="6" borderId="47" xfId="0" applyNumberFormat="1" applyFont="1" applyFill="1" applyBorder="1" applyAlignment="1">
      <alignment horizontal="left" vertical="center"/>
    </xf>
    <xf numFmtId="0" fontId="5" fillId="6" borderId="25" xfId="0" applyFont="1" applyFill="1" applyBorder="1" applyAlignment="1">
      <alignment horizontal="left" vertical="center"/>
    </xf>
    <xf numFmtId="0" fontId="5" fillId="6" borderId="27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5" fillId="6" borderId="26" xfId="0" applyFont="1" applyFill="1" applyBorder="1" applyAlignment="1">
      <alignment horizontal="left" vertical="center"/>
    </xf>
    <xf numFmtId="49" fontId="5" fillId="6" borderId="0" xfId="0" applyNumberFormat="1" applyFont="1" applyFill="1" applyBorder="1" applyAlignment="1">
      <alignment horizontal="left" vertical="center"/>
    </xf>
    <xf numFmtId="49" fontId="5" fillId="6" borderId="25" xfId="0" applyNumberFormat="1" applyFont="1" applyFill="1" applyBorder="1" applyAlignment="1">
      <alignment horizontal="left" vertical="center"/>
    </xf>
    <xf numFmtId="0" fontId="9" fillId="6" borderId="25" xfId="0" applyFont="1" applyFill="1" applyBorder="1" applyAlignment="1">
      <alignment horizontal="left" vertical="center"/>
    </xf>
    <xf numFmtId="49" fontId="5" fillId="8" borderId="47" xfId="0" applyNumberFormat="1" applyFont="1" applyFill="1" applyBorder="1" applyAlignment="1">
      <alignment horizontal="left" vertical="center"/>
    </xf>
    <xf numFmtId="0" fontId="7" fillId="8" borderId="25" xfId="0" applyFont="1" applyFill="1" applyBorder="1" applyAlignment="1">
      <alignment horizontal="left" vertical="center"/>
    </xf>
    <xf numFmtId="0" fontId="5" fillId="8" borderId="25" xfId="0" applyFont="1" applyFill="1" applyBorder="1" applyAlignment="1">
      <alignment horizontal="left" vertical="center"/>
    </xf>
    <xf numFmtId="0" fontId="5" fillId="8" borderId="27" xfId="0" applyFont="1" applyFill="1" applyBorder="1" applyAlignment="1">
      <alignment horizontal="left" vertical="center"/>
    </xf>
    <xf numFmtId="0" fontId="5" fillId="8" borderId="6" xfId="0" applyFont="1" applyFill="1" applyBorder="1" applyAlignment="1">
      <alignment horizontal="left" vertical="center"/>
    </xf>
    <xf numFmtId="0" fontId="5" fillId="8" borderId="26" xfId="0" applyFont="1" applyFill="1" applyBorder="1" applyAlignment="1">
      <alignment horizontal="left" vertical="center"/>
    </xf>
    <xf numFmtId="49" fontId="10" fillId="2" borderId="13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12" fillId="2" borderId="39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49" fontId="12" fillId="2" borderId="47" xfId="0" applyNumberFormat="1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49" fontId="12" fillId="2" borderId="13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49" fontId="5" fillId="2" borderId="47" xfId="0" applyNumberFormat="1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49" fontId="10" fillId="2" borderId="21" xfId="0" applyNumberFormat="1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10" fillId="2" borderId="40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49" fontId="5" fillId="10" borderId="13" xfId="0" applyNumberFormat="1" applyFont="1" applyFill="1" applyBorder="1" applyAlignment="1">
      <alignment horizontal="left" vertical="center"/>
    </xf>
    <xf numFmtId="0" fontId="5" fillId="10" borderId="0" xfId="0" applyFont="1" applyFill="1" applyBorder="1" applyAlignment="1">
      <alignment horizontal="left" vertical="center"/>
    </xf>
    <xf numFmtId="0" fontId="5" fillId="10" borderId="31" xfId="0" applyFont="1" applyFill="1" applyBorder="1" applyAlignment="1">
      <alignment horizontal="left" vertical="center"/>
    </xf>
    <xf numFmtId="0" fontId="5" fillId="10" borderId="39" xfId="0" applyFont="1" applyFill="1" applyBorder="1" applyAlignment="1">
      <alignment horizontal="left" vertical="center"/>
    </xf>
    <xf numFmtId="0" fontId="5" fillId="10" borderId="14" xfId="0" applyFont="1" applyFill="1" applyBorder="1" applyAlignment="1">
      <alignment horizontal="left" vertical="center"/>
    </xf>
    <xf numFmtId="0" fontId="13" fillId="10" borderId="13" xfId="0" applyFont="1" applyFill="1" applyBorder="1" applyAlignment="1">
      <alignment horizontal="left" vertical="center"/>
    </xf>
    <xf numFmtId="0" fontId="6" fillId="10" borderId="0" xfId="0" applyFont="1" applyFill="1" applyBorder="1" applyAlignment="1">
      <alignment horizontal="left" vertical="center"/>
    </xf>
    <xf numFmtId="0" fontId="13" fillId="10" borderId="48" xfId="0" applyFont="1" applyFill="1" applyBorder="1" applyAlignment="1">
      <alignment horizontal="left" vertical="center"/>
    </xf>
    <xf numFmtId="0" fontId="6" fillId="10" borderId="31" xfId="0" applyFont="1" applyFill="1" applyBorder="1" applyAlignment="1">
      <alignment horizontal="left" vertical="center"/>
    </xf>
    <xf numFmtId="49" fontId="13" fillId="10" borderId="18" xfId="0" applyNumberFormat="1" applyFont="1" applyFill="1" applyBorder="1" applyAlignment="1">
      <alignment horizontal="left" vertical="center"/>
    </xf>
    <xf numFmtId="0" fontId="5" fillId="10" borderId="19" xfId="0" applyFont="1" applyFill="1" applyBorder="1" applyAlignment="1">
      <alignment horizontal="left" vertical="center"/>
    </xf>
    <xf numFmtId="0" fontId="5" fillId="10" borderId="34" xfId="0" applyFont="1" applyFill="1" applyBorder="1" applyAlignment="1">
      <alignment horizontal="left" vertical="center"/>
    </xf>
    <xf numFmtId="0" fontId="5" fillId="10" borderId="20" xfId="0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5" fillId="10" borderId="17" xfId="0" applyNumberFormat="1" applyFont="1" applyFill="1" applyBorder="1" applyAlignment="1">
      <alignment horizontal="left" vertical="center"/>
    </xf>
    <xf numFmtId="0" fontId="6" fillId="10" borderId="50" xfId="0" applyFont="1" applyFill="1" applyBorder="1" applyAlignment="1">
      <alignment vertical="center" wrapText="1"/>
    </xf>
    <xf numFmtId="0" fontId="6" fillId="10" borderId="38" xfId="0" applyFont="1" applyFill="1" applyBorder="1" applyAlignment="1">
      <alignment vertical="center" wrapText="1"/>
    </xf>
    <xf numFmtId="0" fontId="6" fillId="10" borderId="15" xfId="0" applyFont="1" applyFill="1" applyBorder="1" applyAlignment="1">
      <alignment vertical="center"/>
    </xf>
    <xf numFmtId="0" fontId="6" fillId="10" borderId="32" xfId="0" applyFont="1" applyFill="1" applyBorder="1" applyAlignment="1">
      <alignment vertical="center"/>
    </xf>
    <xf numFmtId="49" fontId="5" fillId="11" borderId="13" xfId="0" applyNumberFormat="1" applyFont="1" applyFill="1" applyBorder="1" applyAlignment="1">
      <alignment horizontal="left" vertical="center"/>
    </xf>
    <xf numFmtId="0" fontId="5" fillId="11" borderId="0" xfId="0" applyFont="1" applyFill="1" applyBorder="1" applyAlignment="1">
      <alignment horizontal="left" vertical="center"/>
    </xf>
    <xf numFmtId="0" fontId="5" fillId="11" borderId="36" xfId="0" applyFont="1" applyFill="1" applyBorder="1" applyAlignment="1">
      <alignment horizontal="left" vertical="center"/>
    </xf>
    <xf numFmtId="0" fontId="5" fillId="11" borderId="14" xfId="0" applyFont="1" applyFill="1" applyBorder="1" applyAlignment="1">
      <alignment horizontal="left" vertical="center"/>
    </xf>
    <xf numFmtId="49" fontId="5" fillId="3" borderId="13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49" fontId="5" fillId="3" borderId="47" xfId="0" applyNumberFormat="1" applyFont="1" applyFill="1" applyBorder="1" applyAlignment="1">
      <alignment horizontal="left" vertical="center"/>
    </xf>
    <xf numFmtId="0" fontId="5" fillId="3" borderId="25" xfId="0" applyFont="1" applyFill="1" applyBorder="1" applyAlignment="1">
      <alignment vertical="center"/>
    </xf>
    <xf numFmtId="0" fontId="5" fillId="3" borderId="27" xfId="0" applyFont="1" applyFill="1" applyBorder="1" applyAlignment="1">
      <alignment vertical="center"/>
    </xf>
    <xf numFmtId="0" fontId="5" fillId="3" borderId="25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left" vertical="center"/>
    </xf>
    <xf numFmtId="10" fontId="5" fillId="3" borderId="26" xfId="0" applyNumberFormat="1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8" fillId="3" borderId="3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12" fillId="3" borderId="25" xfId="0" applyFont="1" applyFill="1" applyBorder="1" applyAlignment="1">
      <alignment horizontal="left" vertical="center"/>
    </xf>
    <xf numFmtId="0" fontId="12" fillId="3" borderId="27" xfId="0" applyFont="1" applyFill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49" fontId="5" fillId="5" borderId="13" xfId="0" applyNumberFormat="1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5" fillId="5" borderId="31" xfId="0" applyFont="1" applyFill="1" applyBorder="1" applyAlignment="1">
      <alignment horizontal="left" vertical="center"/>
    </xf>
    <xf numFmtId="0" fontId="5" fillId="5" borderId="43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49" fontId="5" fillId="5" borderId="47" xfId="0" applyNumberFormat="1" applyFont="1" applyFill="1" applyBorder="1" applyAlignment="1">
      <alignment horizontal="left" vertical="center"/>
    </xf>
    <xf numFmtId="0" fontId="5" fillId="5" borderId="25" xfId="0" applyFont="1" applyFill="1" applyBorder="1" applyAlignment="1">
      <alignment horizontal="left" vertical="center"/>
    </xf>
    <xf numFmtId="0" fontId="5" fillId="5" borderId="27" xfId="0" applyFont="1" applyFill="1" applyBorder="1" applyAlignment="1">
      <alignment horizontal="left" vertical="center"/>
    </xf>
    <xf numFmtId="0" fontId="8" fillId="5" borderId="27" xfId="0" applyFont="1" applyFill="1" applyBorder="1" applyAlignment="1">
      <alignment horizontal="left" vertical="center"/>
    </xf>
    <xf numFmtId="0" fontId="5" fillId="5" borderId="26" xfId="0" applyFont="1" applyFill="1" applyBorder="1" applyAlignment="1">
      <alignment horizontal="left" vertical="center"/>
    </xf>
    <xf numFmtId="0" fontId="12" fillId="5" borderId="25" xfId="0" applyFont="1" applyFill="1" applyBorder="1" applyAlignment="1">
      <alignment horizontal="left" vertical="center"/>
    </xf>
    <xf numFmtId="0" fontId="12" fillId="5" borderId="27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49" fontId="5" fillId="2" borderId="13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left" vertical="center"/>
    </xf>
    <xf numFmtId="0" fontId="5" fillId="15" borderId="25" xfId="0" applyFont="1" applyFill="1" applyBorder="1" applyAlignment="1">
      <alignment horizontal="left" vertical="center"/>
    </xf>
    <xf numFmtId="0" fontId="8" fillId="8" borderId="27" xfId="0" applyFont="1" applyFill="1" applyBorder="1" applyAlignment="1">
      <alignment horizontal="left" vertical="center"/>
    </xf>
    <xf numFmtId="49" fontId="9" fillId="0" borderId="47" xfId="0" applyNumberFormat="1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2" fillId="2" borderId="25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10" fontId="5" fillId="2" borderId="26" xfId="0" applyNumberFormat="1" applyFont="1" applyFill="1" applyBorder="1" applyAlignment="1">
      <alignment horizontal="left" vertical="center"/>
    </xf>
    <xf numFmtId="49" fontId="12" fillId="6" borderId="13" xfId="0" applyNumberFormat="1" applyFont="1" applyFill="1" applyBorder="1" applyAlignment="1">
      <alignment horizontal="left" vertical="center"/>
    </xf>
    <xf numFmtId="0" fontId="12" fillId="6" borderId="25" xfId="0" applyFont="1" applyFill="1" applyBorder="1" applyAlignment="1">
      <alignment horizontal="left" vertical="center"/>
    </xf>
    <xf numFmtId="0" fontId="12" fillId="6" borderId="27" xfId="0" applyFont="1" applyFill="1" applyBorder="1" applyAlignment="1">
      <alignment horizontal="left" vertical="center"/>
    </xf>
    <xf numFmtId="49" fontId="12" fillId="14" borderId="13" xfId="0" applyNumberFormat="1" applyFont="1" applyFill="1" applyBorder="1" applyAlignment="1">
      <alignment horizontal="left" vertical="center"/>
    </xf>
    <xf numFmtId="0" fontId="5" fillId="14" borderId="0" xfId="0" applyFont="1" applyFill="1" applyBorder="1" applyAlignment="1">
      <alignment horizontal="left" vertical="center"/>
    </xf>
    <xf numFmtId="0" fontId="5" fillId="14" borderId="31" xfId="0" applyFont="1" applyFill="1" applyBorder="1" applyAlignment="1">
      <alignment horizontal="left" vertical="center"/>
    </xf>
    <xf numFmtId="0" fontId="5" fillId="14" borderId="14" xfId="0" applyFont="1" applyFill="1" applyBorder="1" applyAlignment="1">
      <alignment horizontal="left" vertical="center"/>
    </xf>
    <xf numFmtId="49" fontId="5" fillId="14" borderId="47" xfId="0" applyNumberFormat="1" applyFont="1" applyFill="1" applyBorder="1" applyAlignment="1">
      <alignment horizontal="left" vertical="center"/>
    </xf>
    <xf numFmtId="0" fontId="12" fillId="14" borderId="25" xfId="0" applyFont="1" applyFill="1" applyBorder="1" applyAlignment="1">
      <alignment horizontal="left" vertical="center"/>
    </xf>
    <xf numFmtId="0" fontId="14" fillId="14" borderId="27" xfId="0" applyFont="1" applyFill="1" applyBorder="1" applyAlignment="1">
      <alignment horizontal="left" vertical="center"/>
    </xf>
    <xf numFmtId="0" fontId="5" fillId="14" borderId="25" xfId="0" applyFont="1" applyFill="1" applyBorder="1" applyAlignment="1">
      <alignment horizontal="left" vertical="center"/>
    </xf>
    <xf numFmtId="0" fontId="5" fillId="14" borderId="26" xfId="0" applyFont="1" applyFill="1" applyBorder="1" applyAlignment="1">
      <alignment horizontal="left" vertical="center"/>
    </xf>
    <xf numFmtId="0" fontId="12" fillId="14" borderId="27" xfId="0" applyFont="1" applyFill="1" applyBorder="1" applyAlignment="1">
      <alignment horizontal="left" vertical="center"/>
    </xf>
    <xf numFmtId="0" fontId="5" fillId="14" borderId="25" xfId="0" applyFont="1" applyFill="1" applyBorder="1" applyAlignment="1">
      <alignment horizontal="left" vertical="center" wrapText="1"/>
    </xf>
    <xf numFmtId="0" fontId="5" fillId="14" borderId="27" xfId="0" applyFont="1" applyFill="1" applyBorder="1" applyAlignment="1">
      <alignment horizontal="left" vertical="center" wrapText="1"/>
    </xf>
    <xf numFmtId="49" fontId="12" fillId="8" borderId="47" xfId="0" applyNumberFormat="1" applyFont="1" applyFill="1" applyBorder="1" applyAlignment="1">
      <alignment horizontal="left" vertical="center"/>
    </xf>
    <xf numFmtId="0" fontId="12" fillId="8" borderId="25" xfId="0" applyFont="1" applyFill="1" applyBorder="1" applyAlignment="1">
      <alignment horizontal="left" vertical="center"/>
    </xf>
    <xf numFmtId="0" fontId="12" fillId="8" borderId="27" xfId="0" applyFont="1" applyFill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49" fontId="13" fillId="0" borderId="47" xfId="0" applyNumberFormat="1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49" fontId="5" fillId="9" borderId="13" xfId="0" applyNumberFormat="1" applyFont="1" applyFill="1" applyBorder="1" applyAlignment="1">
      <alignment horizontal="left" vertical="center"/>
    </xf>
    <xf numFmtId="0" fontId="7" fillId="9" borderId="0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left" vertical="center"/>
    </xf>
    <xf numFmtId="0" fontId="5" fillId="9" borderId="31" xfId="0" applyFont="1" applyFill="1" applyBorder="1" applyAlignment="1">
      <alignment horizontal="left" vertical="center"/>
    </xf>
    <xf numFmtId="0" fontId="5" fillId="9" borderId="14" xfId="0" applyFont="1" applyFill="1" applyBorder="1" applyAlignment="1">
      <alignment horizontal="left" vertical="center"/>
    </xf>
    <xf numFmtId="49" fontId="5" fillId="9" borderId="47" xfId="0" applyNumberFormat="1" applyFont="1" applyFill="1" applyBorder="1" applyAlignment="1">
      <alignment horizontal="left" vertical="center"/>
    </xf>
    <xf numFmtId="0" fontId="5" fillId="9" borderId="25" xfId="0" applyFont="1" applyFill="1" applyBorder="1" applyAlignment="1">
      <alignment horizontal="left" vertical="center"/>
    </xf>
    <xf numFmtId="0" fontId="5" fillId="9" borderId="27" xfId="0" applyFont="1" applyFill="1" applyBorder="1" applyAlignment="1">
      <alignment horizontal="left" vertical="center"/>
    </xf>
    <xf numFmtId="0" fontId="8" fillId="9" borderId="27" xfId="0" applyFont="1" applyFill="1" applyBorder="1" applyAlignment="1">
      <alignment horizontal="left" vertical="center"/>
    </xf>
    <xf numFmtId="0" fontId="5" fillId="9" borderId="26" xfId="0" applyFont="1" applyFill="1" applyBorder="1" applyAlignment="1">
      <alignment horizontal="left" vertical="center"/>
    </xf>
    <xf numFmtId="49" fontId="13" fillId="9" borderId="47" xfId="0" applyNumberFormat="1" applyFont="1" applyFill="1" applyBorder="1" applyAlignment="1">
      <alignment horizontal="left" vertical="center"/>
    </xf>
    <xf numFmtId="0" fontId="13" fillId="9" borderId="27" xfId="0" applyFont="1" applyFill="1" applyBorder="1" applyAlignment="1">
      <alignment horizontal="left" vertical="center"/>
    </xf>
    <xf numFmtId="49" fontId="5" fillId="7" borderId="13" xfId="0" applyNumberFormat="1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7" borderId="31" xfId="0" applyFont="1" applyFill="1" applyBorder="1" applyAlignment="1">
      <alignment horizontal="left" vertical="center"/>
    </xf>
    <xf numFmtId="0" fontId="5" fillId="7" borderId="14" xfId="0" applyFont="1" applyFill="1" applyBorder="1" applyAlignment="1">
      <alignment horizontal="left" vertical="center"/>
    </xf>
    <xf numFmtId="49" fontId="5" fillId="7" borderId="47" xfId="0" applyNumberFormat="1" applyFont="1" applyFill="1" applyBorder="1" applyAlignment="1">
      <alignment horizontal="left" vertical="center"/>
    </xf>
    <xf numFmtId="0" fontId="5" fillId="7" borderId="25" xfId="0" applyFont="1" applyFill="1" applyBorder="1" applyAlignment="1">
      <alignment horizontal="left" vertical="center"/>
    </xf>
    <xf numFmtId="0" fontId="5" fillId="7" borderId="25" xfId="0" applyFont="1" applyFill="1" applyBorder="1"/>
    <xf numFmtId="0" fontId="5" fillId="7" borderId="27" xfId="0" applyFont="1" applyFill="1" applyBorder="1"/>
    <xf numFmtId="0" fontId="12" fillId="7" borderId="25" xfId="0" applyFont="1" applyFill="1" applyBorder="1" applyAlignment="1">
      <alignment horizontal="left" vertical="center"/>
    </xf>
    <xf numFmtId="0" fontId="12" fillId="7" borderId="27" xfId="0" applyFont="1" applyFill="1" applyBorder="1" applyAlignment="1">
      <alignment horizontal="left" vertical="center"/>
    </xf>
    <xf numFmtId="0" fontId="5" fillId="7" borderId="26" xfId="0" applyFont="1" applyFill="1" applyBorder="1" applyAlignment="1">
      <alignment horizontal="left" vertical="center"/>
    </xf>
    <xf numFmtId="0" fontId="5" fillId="7" borderId="27" xfId="0" applyFont="1" applyFill="1" applyBorder="1" applyAlignment="1">
      <alignment horizontal="left" vertical="center"/>
    </xf>
    <xf numFmtId="0" fontId="8" fillId="7" borderId="27" xfId="0" applyFont="1" applyFill="1" applyBorder="1" applyAlignment="1">
      <alignment horizontal="left" vertical="center"/>
    </xf>
    <xf numFmtId="49" fontId="13" fillId="7" borderId="47" xfId="0" applyNumberFormat="1" applyFont="1" applyFill="1" applyBorder="1" applyAlignment="1">
      <alignment horizontal="left" vertical="center"/>
    </xf>
    <xf numFmtId="0" fontId="13" fillId="7" borderId="27" xfId="0" applyFont="1" applyFill="1" applyBorder="1" applyAlignment="1">
      <alignment horizontal="left" vertical="center"/>
    </xf>
    <xf numFmtId="49" fontId="5" fillId="0" borderId="44" xfId="0" applyNumberFormat="1" applyFont="1" applyBorder="1" applyAlignment="1">
      <alignment horizontal="left" vertical="center"/>
    </xf>
    <xf numFmtId="49" fontId="13" fillId="10" borderId="47" xfId="0" applyNumberFormat="1" applyFont="1" applyFill="1" applyBorder="1" applyAlignment="1">
      <alignment horizontal="left" vertical="center"/>
    </xf>
    <xf numFmtId="0" fontId="5" fillId="10" borderId="25" xfId="0" applyFont="1" applyFill="1" applyBorder="1" applyAlignment="1">
      <alignment horizontal="left" vertical="center"/>
    </xf>
    <xf numFmtId="0" fontId="5" fillId="10" borderId="27" xfId="0" applyFont="1" applyFill="1" applyBorder="1" applyAlignment="1">
      <alignment horizontal="left" vertical="center"/>
    </xf>
    <xf numFmtId="0" fontId="5" fillId="10" borderId="26" xfId="0" applyFont="1" applyFill="1" applyBorder="1" applyAlignment="1">
      <alignment horizontal="left" vertical="center"/>
    </xf>
    <xf numFmtId="49" fontId="13" fillId="10" borderId="44" xfId="0" applyNumberFormat="1" applyFont="1" applyFill="1" applyBorder="1" applyAlignment="1">
      <alignment horizontal="left" vertical="center"/>
    </xf>
    <xf numFmtId="0" fontId="5" fillId="10" borderId="45" xfId="0" applyFont="1" applyFill="1" applyBorder="1" applyAlignment="1">
      <alignment horizontal="left" vertical="center"/>
    </xf>
    <xf numFmtId="0" fontId="5" fillId="10" borderId="41" xfId="0" applyFont="1" applyFill="1" applyBorder="1" applyAlignment="1">
      <alignment horizontal="left" vertical="center"/>
    </xf>
    <xf numFmtId="0" fontId="5" fillId="10" borderId="46" xfId="0" applyFont="1" applyFill="1" applyBorder="1" applyAlignment="1">
      <alignment horizontal="left" vertical="center"/>
    </xf>
    <xf numFmtId="0" fontId="13" fillId="10" borderId="31" xfId="0" applyFont="1" applyFill="1" applyBorder="1" applyAlignment="1">
      <alignment horizontal="left" vertical="center"/>
    </xf>
    <xf numFmtId="0" fontId="9" fillId="10" borderId="45" xfId="0" applyFont="1" applyFill="1" applyBorder="1" applyAlignment="1">
      <alignment horizontal="left" vertical="center"/>
    </xf>
    <xf numFmtId="0" fontId="5" fillId="10" borderId="45" xfId="0" applyFont="1" applyFill="1" applyBorder="1" applyAlignment="1">
      <alignment horizontal="left" vertical="center" wrapText="1"/>
    </xf>
    <xf numFmtId="10" fontId="13" fillId="10" borderId="45" xfId="0" applyNumberFormat="1" applyFont="1" applyFill="1" applyBorder="1" applyAlignment="1">
      <alignment horizontal="left" vertical="center"/>
    </xf>
    <xf numFmtId="49" fontId="6" fillId="10" borderId="28" xfId="0" applyNumberFormat="1" applyFont="1" applyFill="1" applyBorder="1" applyAlignment="1">
      <alignment horizontal="left" vertical="center"/>
    </xf>
    <xf numFmtId="0" fontId="5" fillId="10" borderId="29" xfId="0" applyFont="1" applyFill="1" applyBorder="1" applyAlignment="1">
      <alignment horizontal="left" vertical="center"/>
    </xf>
    <xf numFmtId="0" fontId="5" fillId="10" borderId="37" xfId="0" applyFont="1" applyFill="1" applyBorder="1" applyAlignment="1">
      <alignment horizontal="left" vertical="center"/>
    </xf>
    <xf numFmtId="0" fontId="6" fillId="10" borderId="49" xfId="0" applyFont="1" applyFill="1" applyBorder="1" applyAlignment="1">
      <alignment horizontal="left" vertical="center"/>
    </xf>
    <xf numFmtId="0" fontId="5" fillId="10" borderId="30" xfId="0" applyFont="1" applyFill="1" applyBorder="1" applyAlignment="1">
      <alignment horizontal="left" vertical="center"/>
    </xf>
    <xf numFmtId="0" fontId="6" fillId="0" borderId="13" xfId="0" applyFont="1" applyBorder="1"/>
    <xf numFmtId="0" fontId="5" fillId="0" borderId="0" xfId="0" applyFont="1" applyBorder="1"/>
    <xf numFmtId="0" fontId="8" fillId="0" borderId="0" xfId="0" applyFont="1" applyBorder="1"/>
    <xf numFmtId="0" fontId="5" fillId="0" borderId="14" xfId="0" applyFont="1" applyBorder="1"/>
    <xf numFmtId="0" fontId="12" fillId="0" borderId="0" xfId="0" applyFont="1" applyBorder="1"/>
    <xf numFmtId="0" fontId="5" fillId="0" borderId="13" xfId="0" applyFont="1" applyBorder="1"/>
    <xf numFmtId="0" fontId="9" fillId="0" borderId="0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1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164" fontId="5" fillId="0" borderId="11" xfId="0" applyNumberFormat="1" applyFont="1" applyBorder="1"/>
    <xf numFmtId="0" fontId="9" fillId="3" borderId="25" xfId="0" applyFont="1" applyFill="1" applyBorder="1" applyAlignment="1">
      <alignment horizontal="left" vertical="center" wrapText="1"/>
    </xf>
    <xf numFmtId="0" fontId="12" fillId="2" borderId="33" xfId="0" applyFont="1" applyFill="1" applyBorder="1" applyAlignment="1">
      <alignment horizontal="center" vertical="top" wrapText="1"/>
    </xf>
    <xf numFmtId="0" fontId="5" fillId="4" borderId="25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10" fontId="13" fillId="10" borderId="26" xfId="0" applyNumberFormat="1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8" fillId="4" borderId="44" xfId="0" applyFont="1" applyFill="1" applyBorder="1" applyAlignment="1">
      <alignment horizontal="left" vertical="center"/>
    </xf>
    <xf numFmtId="0" fontId="8" fillId="4" borderId="47" xfId="0" applyFont="1" applyFill="1" applyBorder="1" applyAlignment="1">
      <alignment horizontal="left" vertical="center"/>
    </xf>
    <xf numFmtId="0" fontId="1" fillId="11" borderId="13" xfId="0" applyFont="1" applyFill="1" applyBorder="1" applyAlignment="1">
      <alignment horizontal="left" vertical="center"/>
    </xf>
    <xf numFmtId="0" fontId="1" fillId="11" borderId="13" xfId="0" applyFont="1" applyFill="1" applyBorder="1"/>
    <xf numFmtId="0" fontId="1" fillId="0" borderId="13" xfId="0" applyFont="1" applyBorder="1"/>
    <xf numFmtId="0" fontId="1" fillId="12" borderId="13" xfId="0" applyFont="1" applyFill="1" applyBorder="1"/>
    <xf numFmtId="0" fontId="2" fillId="13" borderId="17" xfId="0" applyFont="1" applyFill="1" applyBorder="1" applyAlignment="1">
      <alignment horizontal="left" vertical="center"/>
    </xf>
    <xf numFmtId="0" fontId="12" fillId="2" borderId="40" xfId="0" applyFont="1" applyFill="1" applyBorder="1" applyAlignment="1">
      <alignment horizontal="left" vertical="center"/>
    </xf>
    <xf numFmtId="0" fontId="5" fillId="10" borderId="47" xfId="0" applyFont="1" applyFill="1" applyBorder="1" applyAlignment="1">
      <alignment horizontal="left" vertical="center" wrapText="1"/>
    </xf>
    <xf numFmtId="0" fontId="5" fillId="10" borderId="25" xfId="0" applyFont="1" applyFill="1" applyBorder="1" applyAlignment="1">
      <alignment horizontal="left" vertical="center"/>
    </xf>
    <xf numFmtId="0" fontId="5" fillId="10" borderId="26" xfId="0" applyFont="1" applyFill="1" applyBorder="1" applyAlignment="1">
      <alignment horizontal="left" vertical="center"/>
    </xf>
    <xf numFmtId="0" fontId="12" fillId="3" borderId="25" xfId="0" applyFont="1" applyFill="1" applyBorder="1" applyAlignment="1">
      <alignment horizontal="left" vertical="center" wrapText="1"/>
    </xf>
    <xf numFmtId="0" fontId="12" fillId="3" borderId="27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left" vertical="center"/>
    </xf>
    <xf numFmtId="0" fontId="12" fillId="2" borderId="4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2" borderId="33" xfId="0" applyFont="1" applyFill="1" applyBorder="1" applyAlignment="1">
      <alignment horizontal="left" vertical="center"/>
    </xf>
    <xf numFmtId="0" fontId="5" fillId="0" borderId="4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5" borderId="25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/>
    </xf>
    <xf numFmtId="0" fontId="5" fillId="5" borderId="26" xfId="0" applyFont="1" applyFill="1" applyBorder="1" applyAlignment="1">
      <alignment horizontal="left" vertical="center"/>
    </xf>
    <xf numFmtId="0" fontId="5" fillId="15" borderId="47" xfId="0" applyFont="1" applyFill="1" applyBorder="1" applyAlignment="1">
      <alignment horizontal="left" vertical="center" wrapText="1"/>
    </xf>
    <xf numFmtId="0" fontId="5" fillId="15" borderId="25" xfId="0" applyFont="1" applyFill="1" applyBorder="1" applyAlignment="1">
      <alignment horizontal="left" vertical="center"/>
    </xf>
    <xf numFmtId="0" fontId="5" fillId="15" borderId="26" xfId="0" applyFont="1" applyFill="1" applyBorder="1" applyAlignment="1">
      <alignment horizontal="left" vertical="center"/>
    </xf>
    <xf numFmtId="0" fontId="5" fillId="7" borderId="25" xfId="0" applyFont="1" applyFill="1" applyBorder="1" applyAlignment="1">
      <alignment horizontal="left" vertical="center" wrapText="1"/>
    </xf>
    <xf numFmtId="0" fontId="5" fillId="7" borderId="25" xfId="0" applyFont="1" applyFill="1" applyBorder="1" applyAlignment="1">
      <alignment horizontal="left" vertical="center"/>
    </xf>
    <xf numFmtId="0" fontId="5" fillId="7" borderId="26" xfId="0" applyFont="1" applyFill="1" applyBorder="1" applyAlignment="1">
      <alignment horizontal="left" vertical="center"/>
    </xf>
    <xf numFmtId="0" fontId="14" fillId="2" borderId="22" xfId="0" applyFont="1" applyFill="1" applyBorder="1" applyAlignment="1">
      <alignment horizontal="left" vertical="center" wrapText="1"/>
    </xf>
    <xf numFmtId="0" fontId="14" fillId="2" borderId="33" xfId="0" applyFont="1" applyFill="1" applyBorder="1" applyAlignment="1">
      <alignment horizontal="left" vertical="center" wrapText="1"/>
    </xf>
    <xf numFmtId="0" fontId="12" fillId="14" borderId="25" xfId="0" applyFont="1" applyFill="1" applyBorder="1" applyAlignment="1">
      <alignment horizontal="left" vertical="center" wrapText="1"/>
    </xf>
    <xf numFmtId="0" fontId="12" fillId="14" borderId="27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5" borderId="47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9" fillId="3" borderId="47" xfId="0" applyFont="1" applyFill="1" applyBorder="1" applyAlignment="1">
      <alignment horizontal="left" vertical="center" wrapText="1"/>
    </xf>
    <xf numFmtId="0" fontId="9" fillId="3" borderId="25" xfId="0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9" borderId="25" xfId="0" applyFont="1" applyFill="1" applyBorder="1" applyAlignment="1">
      <alignment horizontal="left" vertical="center" wrapText="1"/>
    </xf>
    <xf numFmtId="0" fontId="5" fillId="9" borderId="27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5" fillId="4" borderId="29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9" fillId="3" borderId="44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5" fillId="10" borderId="13" xfId="0" applyFont="1" applyFill="1" applyBorder="1" applyAlignment="1">
      <alignment horizontal="left" vertical="top" wrapText="1"/>
    </xf>
    <xf numFmtId="0" fontId="5" fillId="10" borderId="0" xfId="0" applyFont="1" applyFill="1" applyBorder="1" applyAlignment="1">
      <alignment horizontal="left" vertical="top" wrapText="1"/>
    </xf>
    <xf numFmtId="0" fontId="5" fillId="10" borderId="14" xfId="0" applyFont="1" applyFill="1" applyBorder="1" applyAlignment="1">
      <alignment horizontal="left" vertical="top" wrapText="1"/>
    </xf>
    <xf numFmtId="0" fontId="5" fillId="10" borderId="18" xfId="0" applyFont="1" applyFill="1" applyBorder="1" applyAlignment="1">
      <alignment horizontal="left" vertical="top" wrapText="1"/>
    </xf>
    <xf numFmtId="0" fontId="5" fillId="10" borderId="19" xfId="0" applyFont="1" applyFill="1" applyBorder="1" applyAlignment="1">
      <alignment horizontal="left" vertical="top" wrapText="1"/>
    </xf>
    <xf numFmtId="0" fontId="5" fillId="10" borderId="20" xfId="0" applyFont="1" applyFill="1" applyBorder="1" applyAlignment="1">
      <alignment horizontal="left" vertical="top" wrapText="1"/>
    </xf>
    <xf numFmtId="49" fontId="2" fillId="13" borderId="15" xfId="0" applyNumberFormat="1" applyFont="1" applyFill="1" applyBorder="1" applyAlignment="1">
      <alignment horizontal="center" vertical="center"/>
    </xf>
    <xf numFmtId="49" fontId="2" fillId="13" borderId="15" xfId="0" applyNumberFormat="1" applyFont="1" applyFill="1" applyBorder="1" applyAlignment="1">
      <alignment horizontal="center" vertical="center" wrapText="1"/>
    </xf>
    <xf numFmtId="49" fontId="2" fillId="13" borderId="32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left" vertical="top" wrapText="1"/>
    </xf>
    <xf numFmtId="0" fontId="5" fillId="2" borderId="45" xfId="0" applyFont="1" applyFill="1" applyBorder="1" applyAlignment="1">
      <alignment horizontal="left" vertical="top" wrapText="1"/>
    </xf>
    <xf numFmtId="0" fontId="5" fillId="2" borderId="46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49" fontId="12" fillId="2" borderId="44" xfId="0" applyNumberFormat="1" applyFont="1" applyFill="1" applyBorder="1" applyAlignment="1">
      <alignment horizontal="left" vertical="center"/>
    </xf>
    <xf numFmtId="49" fontId="12" fillId="2" borderId="21" xfId="0" applyNumberFormat="1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 vertical="center" wrapText="1"/>
    </xf>
    <xf numFmtId="0" fontId="7" fillId="11" borderId="3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FFCC"/>
      <color rgb="FFFFFFFF"/>
      <color rgb="FFFFCC00"/>
      <color rgb="FFE5F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7"/>
  <sheetViews>
    <sheetView tabSelected="1" topLeftCell="A70" zoomScale="85" zoomScaleNormal="85" zoomScaleSheetLayoutView="70" zoomScalePageLayoutView="85" workbookViewId="0">
      <selection activeCell="C89" sqref="C89:M89"/>
    </sheetView>
  </sheetViews>
  <sheetFormatPr defaultRowHeight="15" x14ac:dyDescent="0.2"/>
  <cols>
    <col min="1" max="1" width="8.28515625" style="1" customWidth="1"/>
    <col min="2" max="2" width="11.42578125" style="1" customWidth="1"/>
    <col min="3" max="3" width="20.140625" style="1" customWidth="1"/>
    <col min="4" max="10" width="9.140625" style="1"/>
    <col min="11" max="11" width="8.5703125" style="1" customWidth="1"/>
    <col min="12" max="12" width="17.28515625" style="1" customWidth="1"/>
    <col min="13" max="13" width="15.5703125" style="1" customWidth="1"/>
    <col min="14" max="15" width="20.28515625" style="1" customWidth="1"/>
    <col min="16" max="16" width="12.140625" style="1" customWidth="1"/>
    <col min="17" max="17" width="16" style="1" customWidth="1"/>
    <col min="18" max="18" width="18.28515625" style="1" customWidth="1"/>
    <col min="19" max="19" width="10.140625" style="1" customWidth="1"/>
    <col min="20" max="20" width="17.85546875" style="1" customWidth="1"/>
    <col min="21" max="21" width="9.140625" style="1" hidden="1" customWidth="1"/>
    <col min="22" max="16384" width="9.140625" style="1"/>
  </cols>
  <sheetData>
    <row r="1" spans="1:24" ht="38.25" customHeight="1" x14ac:dyDescent="0.2">
      <c r="A1" s="327" t="s">
        <v>207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</row>
    <row r="2" spans="1:24" ht="15.75" customHeight="1" thickBo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24" s="13" customFormat="1" ht="48" thickBot="1" x14ac:dyDescent="0.25">
      <c r="A3" s="5" t="s">
        <v>33</v>
      </c>
      <c r="B3" s="334" t="s">
        <v>34</v>
      </c>
      <c r="C3" s="334"/>
      <c r="D3" s="334"/>
      <c r="E3" s="334"/>
      <c r="F3" s="334"/>
      <c r="G3" s="334"/>
      <c r="H3" s="334"/>
      <c r="I3" s="334"/>
      <c r="J3" s="334"/>
      <c r="K3" s="334"/>
      <c r="L3" s="335" t="s">
        <v>123</v>
      </c>
      <c r="M3" s="336"/>
      <c r="N3" s="9" t="s">
        <v>29</v>
      </c>
      <c r="O3" s="10" t="s">
        <v>30</v>
      </c>
      <c r="P3" s="10" t="s">
        <v>32</v>
      </c>
      <c r="Q3" s="6" t="s">
        <v>31</v>
      </c>
      <c r="R3" s="267" t="s">
        <v>35</v>
      </c>
      <c r="S3" s="7"/>
      <c r="T3" s="7"/>
      <c r="U3" s="8"/>
      <c r="V3" s="263"/>
      <c r="W3" s="11"/>
    </row>
    <row r="4" spans="1:24" s="13" customFormat="1" ht="24.95" customHeight="1" thickBot="1" x14ac:dyDescent="0.25">
      <c r="A4" s="14" t="s">
        <v>0</v>
      </c>
      <c r="B4" s="15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7"/>
      <c r="O4" s="18"/>
      <c r="P4" s="18"/>
      <c r="Q4" s="19"/>
      <c r="R4" s="14"/>
      <c r="S4" s="16"/>
      <c r="T4" s="16"/>
      <c r="U4" s="19"/>
      <c r="V4" s="264"/>
      <c r="W4" s="12"/>
    </row>
    <row r="5" spans="1:24" s="13" customFormat="1" ht="24.95" customHeight="1" x14ac:dyDescent="0.2">
      <c r="A5" s="20" t="s">
        <v>2</v>
      </c>
      <c r="B5" s="21" t="s">
        <v>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3"/>
      <c r="O5" s="24"/>
      <c r="P5" s="24"/>
      <c r="Q5" s="25"/>
      <c r="R5" s="260"/>
      <c r="S5" s="22"/>
      <c r="T5" s="22"/>
      <c r="U5" s="25"/>
      <c r="V5" s="265"/>
      <c r="W5" s="1"/>
      <c r="X5" s="1"/>
    </row>
    <row r="6" spans="1:24" s="13" customFormat="1" ht="24.95" customHeight="1" x14ac:dyDescent="0.2">
      <c r="A6" s="20" t="s">
        <v>4</v>
      </c>
      <c r="B6" s="22" t="s">
        <v>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3"/>
      <c r="N6" s="23"/>
      <c r="O6" s="24"/>
      <c r="P6" s="24"/>
      <c r="Q6" s="25"/>
      <c r="R6" s="260"/>
      <c r="S6" s="22"/>
      <c r="T6" s="22"/>
      <c r="U6" s="25"/>
      <c r="V6" s="265"/>
      <c r="W6" s="1"/>
      <c r="X6" s="1"/>
    </row>
    <row r="7" spans="1:24" s="13" customFormat="1" ht="24.95" customHeight="1" x14ac:dyDescent="0.2">
      <c r="A7" s="26"/>
      <c r="B7" s="27" t="s">
        <v>6</v>
      </c>
      <c r="C7" s="27" t="s">
        <v>161</v>
      </c>
      <c r="D7" s="27"/>
      <c r="E7" s="27"/>
      <c r="F7" s="27"/>
      <c r="G7" s="27"/>
      <c r="H7" s="27"/>
      <c r="I7" s="27"/>
      <c r="J7" s="27"/>
      <c r="K7" s="27"/>
      <c r="L7" s="27"/>
      <c r="M7" s="28"/>
      <c r="N7" s="28">
        <f>SUM(O7,O8)/1500</f>
        <v>354.99831999999998</v>
      </c>
      <c r="O7" s="29">
        <f>O110/230*167</f>
        <v>386639.4746086956</v>
      </c>
      <c r="P7" s="30">
        <f>N7*6</f>
        <v>2129.98992</v>
      </c>
      <c r="Q7" s="31">
        <f>O7</f>
        <v>386639.4746086956</v>
      </c>
      <c r="R7" s="261" t="s">
        <v>204</v>
      </c>
      <c r="S7" s="27"/>
      <c r="T7" s="27"/>
      <c r="U7" s="31"/>
      <c r="V7" s="265"/>
      <c r="W7" s="1"/>
      <c r="X7" s="1"/>
    </row>
    <row r="8" spans="1:24" s="13" customFormat="1" ht="24.95" customHeight="1" x14ac:dyDescent="0.2">
      <c r="A8" s="32"/>
      <c r="B8" s="33" t="s">
        <v>7</v>
      </c>
      <c r="C8" s="33" t="s">
        <v>186</v>
      </c>
      <c r="D8" s="33"/>
      <c r="E8" s="33"/>
      <c r="F8" s="33"/>
      <c r="G8" s="33"/>
      <c r="H8" s="33"/>
      <c r="I8" s="33"/>
      <c r="J8" s="33"/>
      <c r="K8" s="33"/>
      <c r="L8" s="33"/>
      <c r="M8" s="34"/>
      <c r="N8" s="34">
        <f>SUM(O7,O8)/1500</f>
        <v>354.99831999999998</v>
      </c>
      <c r="O8" s="35">
        <f>O110/230*63</f>
        <v>145858.00539130435</v>
      </c>
      <c r="P8" s="36">
        <f>N8*6</f>
        <v>2129.98992</v>
      </c>
      <c r="Q8" s="37">
        <f>O8</f>
        <v>145858.00539130435</v>
      </c>
      <c r="R8" s="262" t="s">
        <v>205</v>
      </c>
      <c r="S8" s="257"/>
      <c r="T8" s="257"/>
      <c r="U8" s="258"/>
      <c r="V8" s="265"/>
      <c r="W8" s="1"/>
      <c r="X8" s="1"/>
    </row>
    <row r="9" spans="1:24" s="13" customFormat="1" ht="24.95" customHeight="1" x14ac:dyDescent="0.2">
      <c r="A9" s="20" t="s">
        <v>8</v>
      </c>
      <c r="B9" s="22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23"/>
      <c r="O9" s="24"/>
      <c r="P9" s="24"/>
      <c r="Q9" s="25"/>
      <c r="R9" s="260"/>
      <c r="S9" s="22"/>
      <c r="T9" s="22"/>
      <c r="U9" s="25"/>
      <c r="V9" s="265"/>
      <c r="W9" s="1"/>
      <c r="X9" s="1"/>
    </row>
    <row r="10" spans="1:24" s="13" customFormat="1" ht="105.75" customHeight="1" thickBot="1" x14ac:dyDescent="0.25">
      <c r="A10" s="32"/>
      <c r="B10" s="33" t="s">
        <v>10</v>
      </c>
      <c r="C10" s="33" t="s">
        <v>162</v>
      </c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34">
        <f>SUM(O10,O11)/1500</f>
        <v>0</v>
      </c>
      <c r="O10" s="35">
        <v>0</v>
      </c>
      <c r="P10" s="36">
        <f t="shared" ref="P10:P11" si="0">N10*6</f>
        <v>0</v>
      </c>
      <c r="Q10" s="37">
        <f t="shared" ref="Q10:Q11" si="1">O10</f>
        <v>0</v>
      </c>
      <c r="R10" s="320" t="s">
        <v>190</v>
      </c>
      <c r="S10" s="321"/>
      <c r="T10" s="321"/>
      <c r="U10" s="322"/>
      <c r="V10" s="265"/>
      <c r="W10" s="1"/>
      <c r="X10" s="1"/>
    </row>
    <row r="11" spans="1:24" s="13" customFormat="1" ht="54" customHeight="1" x14ac:dyDescent="0.2">
      <c r="A11" s="32"/>
      <c r="B11" s="33" t="s">
        <v>11</v>
      </c>
      <c r="C11" s="33" t="s">
        <v>187</v>
      </c>
      <c r="D11" s="33"/>
      <c r="E11" s="33"/>
      <c r="F11" s="33"/>
      <c r="G11" s="33"/>
      <c r="H11" s="33"/>
      <c r="I11" s="33"/>
      <c r="J11" s="33"/>
      <c r="K11" s="33"/>
      <c r="L11" s="33"/>
      <c r="M11" s="34"/>
      <c r="N11" s="34">
        <f>SUM(O10,O11)/1500</f>
        <v>0</v>
      </c>
      <c r="O11" s="35">
        <v>0</v>
      </c>
      <c r="P11" s="36">
        <f t="shared" si="0"/>
        <v>0</v>
      </c>
      <c r="Q11" s="37">
        <f t="shared" si="1"/>
        <v>0</v>
      </c>
      <c r="R11" s="323" t="s">
        <v>145</v>
      </c>
      <c r="S11" s="323"/>
      <c r="T11" s="323"/>
      <c r="U11" s="324"/>
      <c r="V11" s="265"/>
      <c r="W11" s="1"/>
      <c r="X11" s="1"/>
    </row>
    <row r="12" spans="1:24" s="13" customFormat="1" ht="24.95" customHeight="1" x14ac:dyDescent="0.2">
      <c r="A12" s="38" t="s">
        <v>12</v>
      </c>
      <c r="B12" s="39" t="s">
        <v>13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2"/>
      <c r="P12" s="42"/>
      <c r="Q12" s="43"/>
      <c r="R12" s="40"/>
      <c r="S12" s="40"/>
      <c r="T12" s="40"/>
      <c r="U12" s="43"/>
      <c r="V12" s="265"/>
      <c r="W12" s="1"/>
      <c r="X12" s="1"/>
    </row>
    <row r="13" spans="1:24" s="13" customFormat="1" ht="24.95" customHeight="1" x14ac:dyDescent="0.2">
      <c r="A13" s="44" t="s">
        <v>27</v>
      </c>
      <c r="B13" s="45" t="s">
        <v>150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46"/>
      <c r="O13" s="47">
        <v>75000</v>
      </c>
      <c r="P13" s="48"/>
      <c r="Q13" s="49">
        <f>(O13)</f>
        <v>75000</v>
      </c>
      <c r="R13" s="45" t="s">
        <v>197</v>
      </c>
      <c r="S13" s="45"/>
      <c r="T13" s="45"/>
      <c r="U13" s="49"/>
      <c r="V13" s="265"/>
      <c r="W13" s="1"/>
      <c r="X13" s="1"/>
    </row>
    <row r="14" spans="1:24" s="13" customFormat="1" ht="24.95" customHeight="1" x14ac:dyDescent="0.2">
      <c r="A14" s="44" t="s">
        <v>28</v>
      </c>
      <c r="B14" s="45" t="s">
        <v>149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  <c r="N14" s="46"/>
      <c r="O14" s="47">
        <v>0</v>
      </c>
      <c r="P14" s="48"/>
      <c r="Q14" s="49">
        <f>(O14)</f>
        <v>0</v>
      </c>
      <c r="R14" s="45"/>
      <c r="S14" s="45"/>
      <c r="T14" s="45"/>
      <c r="U14" s="49"/>
      <c r="V14" s="265"/>
      <c r="W14" s="1"/>
      <c r="X14" s="1"/>
    </row>
    <row r="15" spans="1:24" s="13" customFormat="1" ht="24.95" customHeight="1" x14ac:dyDescent="0.2">
      <c r="A15" s="38" t="s">
        <v>14</v>
      </c>
      <c r="B15" s="39" t="s">
        <v>15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  <c r="N15" s="41"/>
      <c r="O15" s="42"/>
      <c r="P15" s="42"/>
      <c r="Q15" s="43"/>
      <c r="R15" s="40"/>
      <c r="S15" s="40"/>
      <c r="T15" s="40"/>
      <c r="U15" s="43"/>
      <c r="V15" s="265"/>
      <c r="W15" s="1"/>
      <c r="X15" s="1"/>
    </row>
    <row r="16" spans="1:24" s="13" customFormat="1" ht="24.95" customHeight="1" x14ac:dyDescent="0.2">
      <c r="A16" s="38" t="s">
        <v>16</v>
      </c>
      <c r="B16" s="50" t="s">
        <v>17</v>
      </c>
      <c r="C16" s="50"/>
      <c r="D16" s="50"/>
      <c r="E16" s="50"/>
      <c r="F16" s="50"/>
      <c r="G16" s="50"/>
      <c r="H16" s="50"/>
      <c r="I16" s="40"/>
      <c r="J16" s="40"/>
      <c r="K16" s="40"/>
      <c r="L16" s="40"/>
      <c r="M16" s="41"/>
      <c r="N16" s="41"/>
      <c r="O16" s="42"/>
      <c r="P16" s="42"/>
      <c r="Q16" s="43"/>
      <c r="R16" s="40"/>
      <c r="S16" s="40"/>
      <c r="T16" s="40"/>
      <c r="U16" s="43"/>
      <c r="V16" s="265"/>
      <c r="W16" s="1"/>
      <c r="X16" s="1"/>
    </row>
    <row r="17" spans="1:24" s="13" customFormat="1" ht="24.95" customHeight="1" x14ac:dyDescent="0.2">
      <c r="A17" s="44"/>
      <c r="B17" s="51" t="s">
        <v>18</v>
      </c>
      <c r="C17" s="51" t="s">
        <v>157</v>
      </c>
      <c r="D17" s="51"/>
      <c r="E17" s="51"/>
      <c r="F17" s="51"/>
      <c r="G17" s="51"/>
      <c r="H17" s="51"/>
      <c r="I17" s="45"/>
      <c r="J17" s="45"/>
      <c r="K17" s="45"/>
      <c r="L17" s="45"/>
      <c r="M17" s="46"/>
      <c r="N17" s="46"/>
      <c r="O17" s="47">
        <v>0</v>
      </c>
      <c r="P17" s="48"/>
      <c r="Q17" s="49">
        <f t="shared" ref="Q17:Q22" si="2">(O17)</f>
        <v>0</v>
      </c>
      <c r="R17" s="52"/>
      <c r="S17" s="45"/>
      <c r="T17" s="45"/>
      <c r="U17" s="49"/>
      <c r="V17" s="265"/>
      <c r="W17" s="1"/>
      <c r="X17" s="1"/>
    </row>
    <row r="18" spans="1:24" s="13" customFormat="1" ht="24.95" customHeight="1" x14ac:dyDescent="0.2">
      <c r="A18" s="44"/>
      <c r="B18" s="51" t="s">
        <v>19</v>
      </c>
      <c r="C18" s="51" t="s">
        <v>158</v>
      </c>
      <c r="D18" s="51"/>
      <c r="E18" s="51"/>
      <c r="F18" s="51"/>
      <c r="G18" s="51"/>
      <c r="H18" s="51"/>
      <c r="I18" s="45"/>
      <c r="J18" s="45"/>
      <c r="K18" s="45"/>
      <c r="L18" s="45"/>
      <c r="M18" s="46"/>
      <c r="N18" s="46"/>
      <c r="O18" s="47">
        <v>0</v>
      </c>
      <c r="P18" s="48"/>
      <c r="Q18" s="49">
        <f t="shared" si="2"/>
        <v>0</v>
      </c>
      <c r="R18" s="45"/>
      <c r="S18" s="45"/>
      <c r="T18" s="45"/>
      <c r="U18" s="49"/>
      <c r="V18" s="265"/>
      <c r="W18" s="1"/>
      <c r="X18" s="1"/>
    </row>
    <row r="19" spans="1:24" s="13" customFormat="1" ht="24.95" customHeight="1" x14ac:dyDescent="0.2">
      <c r="A19" s="38" t="s">
        <v>20</v>
      </c>
      <c r="B19" s="50" t="s">
        <v>21</v>
      </c>
      <c r="C19" s="50"/>
      <c r="D19" s="50"/>
      <c r="E19" s="50"/>
      <c r="F19" s="50"/>
      <c r="G19" s="50"/>
      <c r="H19" s="50"/>
      <c r="I19" s="40"/>
      <c r="J19" s="40"/>
      <c r="K19" s="40"/>
      <c r="L19" s="40"/>
      <c r="M19" s="41"/>
      <c r="N19" s="41"/>
      <c r="O19" s="42"/>
      <c r="P19" s="42"/>
      <c r="Q19" s="43"/>
      <c r="R19" s="40"/>
      <c r="S19" s="40"/>
      <c r="T19" s="40"/>
      <c r="U19" s="43"/>
      <c r="V19" s="265"/>
      <c r="W19" s="1"/>
      <c r="X19" s="1"/>
    </row>
    <row r="20" spans="1:24" s="13" customFormat="1" ht="24.95" customHeight="1" x14ac:dyDescent="0.2">
      <c r="A20" s="44"/>
      <c r="B20" s="45" t="s">
        <v>22</v>
      </c>
      <c r="C20" s="45" t="s">
        <v>159</v>
      </c>
      <c r="D20" s="45"/>
      <c r="E20" s="45"/>
      <c r="F20" s="45"/>
      <c r="G20" s="45"/>
      <c r="H20" s="45"/>
      <c r="I20" s="45"/>
      <c r="J20" s="45"/>
      <c r="K20" s="45"/>
      <c r="L20" s="45"/>
      <c r="M20" s="46"/>
      <c r="N20" s="46"/>
      <c r="O20" s="47">
        <v>0</v>
      </c>
      <c r="P20" s="48"/>
      <c r="Q20" s="49">
        <f t="shared" si="2"/>
        <v>0</v>
      </c>
      <c r="R20" s="45"/>
      <c r="S20" s="45"/>
      <c r="T20" s="45"/>
      <c r="U20" s="49"/>
      <c r="V20" s="265"/>
      <c r="W20" s="1"/>
      <c r="X20" s="1"/>
    </row>
    <row r="21" spans="1:24" s="13" customFormat="1" ht="24.95" customHeight="1" x14ac:dyDescent="0.2">
      <c r="A21" s="44"/>
      <c r="B21" s="45" t="s">
        <v>23</v>
      </c>
      <c r="C21" s="45" t="s">
        <v>160</v>
      </c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6"/>
      <c r="O21" s="47">
        <v>0</v>
      </c>
      <c r="P21" s="48"/>
      <c r="Q21" s="49">
        <f t="shared" si="2"/>
        <v>0</v>
      </c>
      <c r="R21" s="45"/>
      <c r="S21" s="45"/>
      <c r="T21" s="45"/>
      <c r="U21" s="49"/>
      <c r="V21" s="265"/>
      <c r="W21" s="1"/>
      <c r="X21" s="1"/>
    </row>
    <row r="22" spans="1:24" s="13" customFormat="1" ht="24.95" customHeight="1" x14ac:dyDescent="0.2">
      <c r="A22" s="53" t="s">
        <v>24</v>
      </c>
      <c r="B22" s="54" t="s">
        <v>152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56"/>
      <c r="O22" s="57">
        <v>0</v>
      </c>
      <c r="P22" s="57"/>
      <c r="Q22" s="58">
        <f t="shared" si="2"/>
        <v>0</v>
      </c>
      <c r="R22" s="55"/>
      <c r="S22" s="55"/>
      <c r="T22" s="55"/>
      <c r="U22" s="58"/>
      <c r="V22" s="265"/>
      <c r="W22" s="1"/>
      <c r="X22" s="1"/>
    </row>
    <row r="23" spans="1:24" s="13" customFormat="1" ht="24.95" customHeight="1" x14ac:dyDescent="0.2">
      <c r="A23" s="59" t="s">
        <v>40</v>
      </c>
      <c r="B23" s="60" t="s">
        <v>130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2"/>
      <c r="N23" s="62"/>
      <c r="O23" s="63" t="s">
        <v>48</v>
      </c>
      <c r="P23" s="64"/>
      <c r="Q23" s="65"/>
      <c r="R23" s="61" t="s">
        <v>177</v>
      </c>
      <c r="S23" s="61"/>
      <c r="T23" s="61"/>
      <c r="U23" s="65"/>
      <c r="V23" s="265"/>
      <c r="W23" s="1"/>
      <c r="X23" s="1"/>
    </row>
    <row r="24" spans="1:24" s="13" customFormat="1" ht="50.25" customHeight="1" x14ac:dyDescent="0.2">
      <c r="A24" s="66" t="s">
        <v>41</v>
      </c>
      <c r="B24" s="67" t="s">
        <v>165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  <c r="N24" s="69"/>
      <c r="O24" s="70">
        <f>O105</f>
        <v>2906400</v>
      </c>
      <c r="P24" s="71"/>
      <c r="Q24" s="72"/>
      <c r="R24" s="299" t="s">
        <v>178</v>
      </c>
      <c r="S24" s="337"/>
      <c r="T24" s="337"/>
      <c r="U24" s="338"/>
      <c r="V24" s="265"/>
      <c r="W24" s="1"/>
      <c r="X24" s="1"/>
    </row>
    <row r="25" spans="1:24" s="13" customFormat="1" ht="24.95" customHeight="1" x14ac:dyDescent="0.2">
      <c r="A25" s="66" t="s">
        <v>42</v>
      </c>
      <c r="B25" s="67" t="s">
        <v>163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  <c r="N25" s="69"/>
      <c r="O25" s="70">
        <f>84*1080</f>
        <v>90720</v>
      </c>
      <c r="P25" s="71"/>
      <c r="Q25" s="72"/>
      <c r="R25" s="68" t="s">
        <v>179</v>
      </c>
      <c r="S25" s="68"/>
      <c r="T25" s="68"/>
      <c r="U25" s="72"/>
      <c r="V25" s="265"/>
      <c r="W25" s="1"/>
      <c r="X25" s="1"/>
    </row>
    <row r="26" spans="1:24" s="13" customFormat="1" ht="24.95" customHeight="1" x14ac:dyDescent="0.2">
      <c r="A26" s="73" t="s">
        <v>43</v>
      </c>
      <c r="B26" s="74" t="s">
        <v>156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  <c r="N26" s="62"/>
      <c r="O26" s="64"/>
      <c r="P26" s="64"/>
      <c r="Q26" s="65"/>
      <c r="R26" s="61"/>
      <c r="S26" s="61"/>
      <c r="T26" s="61"/>
      <c r="U26" s="65"/>
      <c r="V26" s="265"/>
      <c r="W26" s="1"/>
      <c r="X26" s="1"/>
    </row>
    <row r="27" spans="1:24" s="13" customFormat="1" ht="24.95" customHeight="1" x14ac:dyDescent="0.2">
      <c r="A27" s="75"/>
      <c r="B27" s="67" t="s">
        <v>44</v>
      </c>
      <c r="C27" s="67" t="s">
        <v>154</v>
      </c>
      <c r="D27" s="68"/>
      <c r="E27" s="68"/>
      <c r="F27" s="68"/>
      <c r="G27" s="68"/>
      <c r="H27" s="68"/>
      <c r="I27" s="68"/>
      <c r="J27" s="68"/>
      <c r="K27" s="68"/>
      <c r="L27" s="68"/>
      <c r="M27" s="69"/>
      <c r="N27" s="69"/>
      <c r="O27" s="70">
        <v>0</v>
      </c>
      <c r="P27" s="71"/>
      <c r="Q27" s="72"/>
      <c r="R27" s="68"/>
      <c r="S27" s="68"/>
      <c r="T27" s="68"/>
      <c r="U27" s="72"/>
      <c r="V27" s="265"/>
      <c r="W27" s="1"/>
      <c r="X27" s="1"/>
    </row>
    <row r="28" spans="1:24" s="13" customFormat="1" ht="24.95" customHeight="1" x14ac:dyDescent="0.2">
      <c r="A28" s="75"/>
      <c r="B28" s="67" t="s">
        <v>45</v>
      </c>
      <c r="C28" s="67" t="s">
        <v>155</v>
      </c>
      <c r="D28" s="68"/>
      <c r="E28" s="68"/>
      <c r="F28" s="68"/>
      <c r="G28" s="68"/>
      <c r="H28" s="68"/>
      <c r="I28" s="68"/>
      <c r="J28" s="68"/>
      <c r="K28" s="68"/>
      <c r="L28" s="68"/>
      <c r="M28" s="69"/>
      <c r="N28" s="69"/>
      <c r="O28" s="70">
        <v>0</v>
      </c>
      <c r="P28" s="71"/>
      <c r="Q28" s="72"/>
      <c r="R28" s="68"/>
      <c r="S28" s="68"/>
      <c r="T28" s="68"/>
      <c r="U28" s="72"/>
      <c r="V28" s="265"/>
      <c r="W28" s="1"/>
      <c r="X28" s="1"/>
    </row>
    <row r="29" spans="1:24" s="13" customFormat="1" ht="34.5" customHeight="1" x14ac:dyDescent="0.2">
      <c r="A29" s="345" t="s">
        <v>124</v>
      </c>
      <c r="B29" s="277" t="s">
        <v>164</v>
      </c>
      <c r="C29" s="277"/>
      <c r="D29" s="277"/>
      <c r="E29" s="277"/>
      <c r="F29" s="277"/>
      <c r="G29" s="277"/>
      <c r="H29" s="277"/>
      <c r="I29" s="277"/>
      <c r="J29" s="277"/>
      <c r="K29" s="278"/>
      <c r="L29" s="70" t="s">
        <v>119</v>
      </c>
      <c r="M29" s="256" t="s">
        <v>202</v>
      </c>
      <c r="N29" s="274"/>
      <c r="O29" s="275"/>
      <c r="P29" s="275"/>
      <c r="Q29" s="276"/>
      <c r="R29" s="339" t="s">
        <v>192</v>
      </c>
      <c r="S29" s="340"/>
      <c r="T29" s="340"/>
      <c r="U29" s="341"/>
      <c r="V29" s="265"/>
      <c r="W29" s="1"/>
      <c r="X29" s="1"/>
    </row>
    <row r="30" spans="1:24" s="13" customFormat="1" ht="48" customHeight="1" x14ac:dyDescent="0.2">
      <c r="A30" s="346"/>
      <c r="B30" s="279"/>
      <c r="C30" s="279"/>
      <c r="D30" s="279"/>
      <c r="E30" s="279"/>
      <c r="F30" s="279"/>
      <c r="G30" s="279"/>
      <c r="H30" s="279"/>
      <c r="I30" s="279"/>
      <c r="J30" s="279"/>
      <c r="K30" s="280"/>
      <c r="L30" s="268">
        <v>50000</v>
      </c>
      <c r="M30" s="76">
        <v>6</v>
      </c>
      <c r="N30" s="69"/>
      <c r="O30" s="70">
        <f>(L30*M30)</f>
        <v>300000</v>
      </c>
      <c r="P30" s="71"/>
      <c r="Q30" s="72"/>
      <c r="R30" s="342"/>
      <c r="S30" s="343"/>
      <c r="T30" s="343"/>
      <c r="U30" s="344"/>
      <c r="V30" s="265"/>
      <c r="W30" s="1"/>
      <c r="X30" s="1"/>
    </row>
    <row r="31" spans="1:24" s="13" customFormat="1" ht="32.25" customHeight="1" x14ac:dyDescent="0.2">
      <c r="A31" s="66" t="s">
        <v>131</v>
      </c>
      <c r="B31" s="297" t="s">
        <v>153</v>
      </c>
      <c r="C31" s="297"/>
      <c r="D31" s="297"/>
      <c r="E31" s="297"/>
      <c r="F31" s="297"/>
      <c r="G31" s="297"/>
      <c r="H31" s="297"/>
      <c r="I31" s="297"/>
      <c r="J31" s="297"/>
      <c r="K31" s="297"/>
      <c r="L31" s="67"/>
      <c r="M31" s="76"/>
      <c r="N31" s="69"/>
      <c r="O31" s="70">
        <v>0</v>
      </c>
      <c r="P31" s="71"/>
      <c r="Q31" s="72"/>
      <c r="R31" s="299" t="s">
        <v>151</v>
      </c>
      <c r="S31" s="299"/>
      <c r="T31" s="299"/>
      <c r="U31" s="300"/>
      <c r="V31" s="265"/>
      <c r="W31" s="1"/>
      <c r="X31" s="1"/>
    </row>
    <row r="32" spans="1:24" s="13" customFormat="1" ht="24.95" customHeight="1" x14ac:dyDescent="0.2">
      <c r="A32" s="77" t="s">
        <v>132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9"/>
      <c r="N32" s="79"/>
      <c r="O32" s="80">
        <f>SUM(O24:O31)</f>
        <v>3297120</v>
      </c>
      <c r="P32" s="81"/>
      <c r="Q32" s="82"/>
      <c r="R32" s="78"/>
      <c r="S32" s="78"/>
      <c r="T32" s="78"/>
      <c r="U32" s="82"/>
      <c r="V32" s="265"/>
      <c r="W32" s="1"/>
      <c r="X32" s="1"/>
    </row>
    <row r="33" spans="1:24" s="13" customFormat="1" ht="24.95" customHeight="1" thickBot="1" x14ac:dyDescent="0.25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/>
      <c r="N33" s="85"/>
      <c r="O33" s="86"/>
      <c r="P33" s="86"/>
      <c r="Q33" s="87"/>
      <c r="R33" s="84"/>
      <c r="S33" s="84"/>
      <c r="T33" s="84"/>
      <c r="U33" s="87"/>
      <c r="V33" s="264"/>
      <c r="W33" s="12"/>
    </row>
    <row r="34" spans="1:24" s="13" customFormat="1" ht="45" customHeight="1" thickBot="1" x14ac:dyDescent="0.25">
      <c r="A34" s="88" t="s">
        <v>46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5"/>
      <c r="N34" s="89">
        <f>N7</f>
        <v>354.99831999999998</v>
      </c>
      <c r="O34" s="90">
        <f>SUM(O7,O8,O10,O11,O13,O14,O17,O18,O20,O21)</f>
        <v>607497.48</v>
      </c>
      <c r="P34" s="91">
        <f>P7</f>
        <v>2129.98992</v>
      </c>
      <c r="Q34" s="87">
        <f>SUM(Q7,Q8,Q10,Q11,Q13,Q14,Q17,Q18,Q20,Q21)</f>
        <v>607497.48</v>
      </c>
      <c r="R34" s="328" t="s">
        <v>196</v>
      </c>
      <c r="S34" s="329"/>
      <c r="T34" s="329"/>
      <c r="U34" s="330"/>
      <c r="V34" s="264"/>
      <c r="W34" s="12"/>
    </row>
    <row r="35" spans="1:24" s="13" customFormat="1" ht="24.95" customHeight="1" thickBot="1" x14ac:dyDescent="0.25">
      <c r="A35" s="92" t="s">
        <v>47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93"/>
      <c r="O35" s="90">
        <f>SUM(O32,O34)</f>
        <v>3904617.48</v>
      </c>
      <c r="P35" s="94"/>
      <c r="Q35" s="95">
        <f>O35</f>
        <v>3904617.48</v>
      </c>
      <c r="R35" s="331"/>
      <c r="S35" s="332"/>
      <c r="T35" s="332"/>
      <c r="U35" s="333"/>
      <c r="V35" s="264"/>
      <c r="W35" s="12"/>
    </row>
    <row r="36" spans="1:24" s="13" customFormat="1" ht="24.95" customHeight="1" thickTop="1" thickBot="1" x14ac:dyDescent="0.25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8"/>
      <c r="N36" s="99"/>
      <c r="O36" s="99"/>
      <c r="P36" s="97"/>
      <c r="Q36" s="97"/>
      <c r="R36" s="98"/>
      <c r="S36" s="97"/>
      <c r="T36" s="97"/>
      <c r="U36" s="100"/>
      <c r="V36" s="265"/>
      <c r="W36" s="1"/>
    </row>
    <row r="37" spans="1:24" s="13" customFormat="1" ht="36.75" customHeight="1" thickBot="1" x14ac:dyDescent="0.25">
      <c r="A37" s="101" t="s">
        <v>25</v>
      </c>
      <c r="B37" s="15" t="s">
        <v>26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  <c r="N37" s="102" t="s">
        <v>180</v>
      </c>
      <c r="O37" s="103" t="s">
        <v>181</v>
      </c>
      <c r="P37" s="104" t="s">
        <v>171</v>
      </c>
      <c r="Q37" s="105"/>
      <c r="R37" s="16"/>
      <c r="S37" s="16"/>
      <c r="T37" s="16"/>
      <c r="U37" s="19"/>
      <c r="V37" s="264"/>
      <c r="W37" s="12"/>
    </row>
    <row r="38" spans="1:24" s="13" customFormat="1" ht="39.75" customHeight="1" x14ac:dyDescent="0.2">
      <c r="A38" s="106" t="s">
        <v>49</v>
      </c>
      <c r="B38" s="347" t="s">
        <v>121</v>
      </c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8"/>
      <c r="N38" s="107"/>
      <c r="O38" s="108"/>
      <c r="P38" s="107"/>
      <c r="Q38" s="109"/>
      <c r="R38" s="107"/>
      <c r="S38" s="107"/>
      <c r="T38" s="107"/>
      <c r="U38" s="109"/>
      <c r="V38" s="265"/>
      <c r="W38" s="1"/>
      <c r="X38" s="1"/>
    </row>
    <row r="39" spans="1:24" s="13" customFormat="1" ht="24.95" customHeight="1" x14ac:dyDescent="0.2">
      <c r="A39" s="110" t="s">
        <v>53</v>
      </c>
      <c r="B39" s="111" t="s">
        <v>54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2"/>
      <c r="N39" s="111"/>
      <c r="O39" s="112"/>
      <c r="P39" s="111"/>
      <c r="Q39" s="113"/>
      <c r="R39" s="111"/>
      <c r="S39" s="111"/>
      <c r="T39" s="111"/>
      <c r="U39" s="113"/>
      <c r="V39" s="265"/>
      <c r="W39" s="1"/>
      <c r="X39" s="1"/>
    </row>
    <row r="40" spans="1:24" s="13" customFormat="1" ht="24.75" customHeight="1" x14ac:dyDescent="0.2">
      <c r="A40" s="114"/>
      <c r="B40" s="115" t="s">
        <v>60</v>
      </c>
      <c r="C40" s="115" t="s">
        <v>88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6"/>
      <c r="N40" s="117">
        <f>O40/1500</f>
        <v>1.3333333333333333</v>
      </c>
      <c r="O40" s="118">
        <v>2000</v>
      </c>
      <c r="P40" s="117"/>
      <c r="Q40" s="119">
        <f>(O40/O51)</f>
        <v>1.4598540145985401E-2</v>
      </c>
      <c r="R40" s="117"/>
      <c r="S40" s="117"/>
      <c r="T40" s="117"/>
      <c r="U40" s="120"/>
      <c r="V40" s="265"/>
      <c r="W40" s="1"/>
      <c r="X40" s="1"/>
    </row>
    <row r="41" spans="1:24" s="13" customFormat="1" ht="24.95" customHeight="1" x14ac:dyDescent="0.2">
      <c r="A41" s="114"/>
      <c r="B41" s="117" t="s">
        <v>59</v>
      </c>
      <c r="C41" s="117" t="s">
        <v>79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21"/>
      <c r="N41" s="117">
        <f>O41/1500</f>
        <v>60.666666666666664</v>
      </c>
      <c r="O41" s="118">
        <v>91000</v>
      </c>
      <c r="P41" s="117"/>
      <c r="Q41" s="119">
        <f>(O41/O51)</f>
        <v>0.66423357664233573</v>
      </c>
      <c r="R41" s="117"/>
      <c r="S41" s="117"/>
      <c r="T41" s="117"/>
      <c r="U41" s="120"/>
      <c r="V41" s="265"/>
      <c r="W41" s="1"/>
      <c r="X41" s="1"/>
    </row>
    <row r="42" spans="1:24" s="13" customFormat="1" ht="24.95" customHeight="1" x14ac:dyDescent="0.2">
      <c r="A42" s="110"/>
      <c r="B42" s="111" t="s">
        <v>61</v>
      </c>
      <c r="C42" s="111" t="s">
        <v>63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2"/>
      <c r="N42" s="117"/>
      <c r="O42" s="122"/>
      <c r="P42" s="111"/>
      <c r="Q42" s="113"/>
      <c r="R42" s="111"/>
      <c r="S42" s="111"/>
      <c r="T42" s="111"/>
      <c r="U42" s="113"/>
      <c r="V42" s="265"/>
      <c r="W42" s="1"/>
      <c r="X42" s="1"/>
    </row>
    <row r="43" spans="1:24" s="13" customFormat="1" ht="24.95" customHeight="1" x14ac:dyDescent="0.2">
      <c r="A43" s="114"/>
      <c r="B43" s="117"/>
      <c r="C43" s="117" t="s">
        <v>67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21"/>
      <c r="N43" s="117">
        <f t="shared" ref="N43:N71" si="3">O43/1500</f>
        <v>3.3333333333333335</v>
      </c>
      <c r="O43" s="118">
        <v>5000</v>
      </c>
      <c r="P43" s="117"/>
      <c r="Q43" s="119">
        <f>(O43/O51)</f>
        <v>3.6496350364963501E-2</v>
      </c>
      <c r="R43" s="117"/>
      <c r="S43" s="117"/>
      <c r="T43" s="117"/>
      <c r="U43" s="120"/>
      <c r="V43" s="265"/>
      <c r="W43" s="1"/>
      <c r="X43" s="1"/>
    </row>
    <row r="44" spans="1:24" s="13" customFormat="1" ht="59.25" customHeight="1" x14ac:dyDescent="0.2">
      <c r="A44" s="114"/>
      <c r="B44" s="117"/>
      <c r="C44" s="117" t="s">
        <v>66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21"/>
      <c r="N44" s="255" t="s">
        <v>201</v>
      </c>
      <c r="O44" s="118">
        <v>28066.080000000002</v>
      </c>
      <c r="P44" s="117"/>
      <c r="Q44" s="119">
        <f>(O44/O51)</f>
        <v>0.20486189781021899</v>
      </c>
      <c r="R44" s="303" t="s">
        <v>198</v>
      </c>
      <c r="S44" s="304"/>
      <c r="T44" s="304"/>
      <c r="U44" s="305"/>
      <c r="V44" s="265"/>
      <c r="W44" s="1"/>
      <c r="X44" s="1"/>
    </row>
    <row r="45" spans="1:24" s="13" customFormat="1" ht="24.95" customHeight="1" x14ac:dyDescent="0.2">
      <c r="A45" s="114"/>
      <c r="B45" s="117"/>
      <c r="C45" s="117" t="s">
        <v>64</v>
      </c>
      <c r="D45" s="117"/>
      <c r="E45" s="117"/>
      <c r="F45" s="117"/>
      <c r="G45" s="117"/>
      <c r="H45" s="117"/>
      <c r="I45" s="117"/>
      <c r="J45" s="117"/>
      <c r="K45" s="117"/>
      <c r="L45" s="117"/>
      <c r="M45" s="121"/>
      <c r="N45" s="117">
        <f t="shared" si="3"/>
        <v>1.3333333333333333</v>
      </c>
      <c r="O45" s="118">
        <v>2000</v>
      </c>
      <c r="P45" s="117"/>
      <c r="Q45" s="119">
        <f>(O45/O51)</f>
        <v>1.4598540145985401E-2</v>
      </c>
      <c r="R45" s="325" t="s">
        <v>189</v>
      </c>
      <c r="S45" s="123">
        <f>28066.08/150*0.4</f>
        <v>74.842880000000008</v>
      </c>
      <c r="T45" s="121">
        <f>S45*100</f>
        <v>7484.2880000000005</v>
      </c>
      <c r="U45" s="120"/>
      <c r="V45" s="265"/>
      <c r="W45" s="1"/>
      <c r="X45" s="1"/>
    </row>
    <row r="46" spans="1:24" s="13" customFormat="1" ht="24.95" customHeight="1" x14ac:dyDescent="0.2">
      <c r="A46" s="114"/>
      <c r="B46" s="117"/>
      <c r="C46" s="117" t="s">
        <v>68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21"/>
      <c r="N46" s="117">
        <f t="shared" si="3"/>
        <v>0</v>
      </c>
      <c r="O46" s="118">
        <v>0</v>
      </c>
      <c r="P46" s="117"/>
      <c r="Q46" s="119">
        <f>(O46/O51)</f>
        <v>0</v>
      </c>
      <c r="R46" s="326"/>
      <c r="S46" s="123">
        <f>28066.08/150*2.2</f>
        <v>411.63584000000003</v>
      </c>
      <c r="T46" s="121">
        <f>S46*50</f>
        <v>20581.792000000001</v>
      </c>
      <c r="U46" s="120"/>
      <c r="V46" s="265"/>
      <c r="W46" s="1"/>
      <c r="X46" s="1"/>
    </row>
    <row r="47" spans="1:24" s="13" customFormat="1" ht="24.95" customHeight="1" x14ac:dyDescent="0.2">
      <c r="A47" s="114"/>
      <c r="B47" s="117" t="s">
        <v>62</v>
      </c>
      <c r="C47" s="117" t="s">
        <v>199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21"/>
      <c r="N47" s="117">
        <f t="shared" si="3"/>
        <v>6</v>
      </c>
      <c r="O47" s="118">
        <v>9000</v>
      </c>
      <c r="P47" s="117"/>
      <c r="Q47" s="119">
        <f>(O47/O51)</f>
        <v>6.569343065693431E-2</v>
      </c>
      <c r="R47" s="124" t="s">
        <v>188</v>
      </c>
      <c r="S47" s="125"/>
      <c r="T47" s="126">
        <f>SUM(T45:T46)</f>
        <v>28066.080000000002</v>
      </c>
      <c r="U47" s="120"/>
      <c r="V47" s="265"/>
      <c r="W47" s="1"/>
      <c r="X47" s="1"/>
    </row>
    <row r="48" spans="1:24" s="13" customFormat="1" ht="24.95" customHeight="1" x14ac:dyDescent="0.2">
      <c r="A48" s="114"/>
      <c r="B48" s="117" t="s">
        <v>80</v>
      </c>
      <c r="C48" s="117" t="s">
        <v>81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21"/>
      <c r="N48" s="117">
        <f t="shared" si="3"/>
        <v>4</v>
      </c>
      <c r="O48" s="118">
        <v>6000</v>
      </c>
      <c r="P48" s="117"/>
      <c r="Q48" s="119">
        <f>(O48/O51)</f>
        <v>4.3795620437956206E-2</v>
      </c>
      <c r="R48" s="117" t="s">
        <v>182</v>
      </c>
      <c r="S48" s="117"/>
      <c r="T48" s="117"/>
      <c r="U48" s="120"/>
      <c r="V48" s="265"/>
      <c r="W48" s="1"/>
      <c r="X48" s="1"/>
    </row>
    <row r="49" spans="1:24" s="13" customFormat="1" ht="24.95" customHeight="1" x14ac:dyDescent="0.2">
      <c r="A49" s="114"/>
      <c r="B49" s="117" t="s">
        <v>83</v>
      </c>
      <c r="C49" s="117" t="s">
        <v>84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21"/>
      <c r="N49" s="117">
        <f t="shared" si="3"/>
        <v>1.3333333333333333</v>
      </c>
      <c r="O49" s="118">
        <v>2000</v>
      </c>
      <c r="P49" s="117"/>
      <c r="Q49" s="119">
        <f>(O49/O51)</f>
        <v>1.4598540145985401E-2</v>
      </c>
      <c r="R49" s="117"/>
      <c r="S49" s="117"/>
      <c r="T49" s="117"/>
      <c r="U49" s="120"/>
      <c r="V49" s="265"/>
      <c r="W49" s="1"/>
      <c r="X49" s="1"/>
    </row>
    <row r="50" spans="1:24" s="13" customFormat="1" ht="33.75" customHeight="1" x14ac:dyDescent="0.2">
      <c r="A50" s="114"/>
      <c r="B50" s="127" t="s">
        <v>117</v>
      </c>
      <c r="C50" s="272" t="s">
        <v>148</v>
      </c>
      <c r="D50" s="272"/>
      <c r="E50" s="272"/>
      <c r="F50" s="272"/>
      <c r="G50" s="272"/>
      <c r="H50" s="272"/>
      <c r="I50" s="272"/>
      <c r="J50" s="272"/>
      <c r="K50" s="272"/>
      <c r="L50" s="272"/>
      <c r="M50" s="273"/>
      <c r="N50" s="127">
        <f>O50/85</f>
        <v>235.29411764705881</v>
      </c>
      <c r="O50" s="128">
        <v>20000</v>
      </c>
      <c r="P50" s="117"/>
      <c r="Q50" s="119">
        <f>(O50/O51)</f>
        <v>0.145985401459854</v>
      </c>
      <c r="R50" s="117" t="s">
        <v>118</v>
      </c>
      <c r="S50" s="117"/>
      <c r="T50" s="117"/>
      <c r="U50" s="120"/>
      <c r="V50" s="265"/>
      <c r="W50" s="1"/>
      <c r="X50" s="1"/>
    </row>
    <row r="51" spans="1:24" s="13" customFormat="1" ht="24.95" customHeight="1" x14ac:dyDescent="0.2">
      <c r="A51" s="114" t="s">
        <v>101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21"/>
      <c r="N51" s="117">
        <f t="shared" si="3"/>
        <v>91.333333333333329</v>
      </c>
      <c r="O51" s="121">
        <f>SUM(O40:O43,O45:O50)</f>
        <v>137000</v>
      </c>
      <c r="P51" s="117"/>
      <c r="Q51" s="119">
        <f>(O51/O51)</f>
        <v>1</v>
      </c>
      <c r="R51" s="117"/>
      <c r="S51" s="117"/>
      <c r="T51" s="117"/>
      <c r="U51" s="120"/>
      <c r="V51" s="265"/>
      <c r="W51" s="1"/>
      <c r="X51" s="1"/>
    </row>
    <row r="52" spans="1:24" s="13" customFormat="1" ht="24.95" customHeight="1" x14ac:dyDescent="0.2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29"/>
      <c r="N52" s="130"/>
      <c r="O52" s="129"/>
      <c r="P52" s="97"/>
      <c r="Q52" s="100"/>
      <c r="R52" s="97"/>
      <c r="S52" s="97"/>
      <c r="T52" s="97"/>
      <c r="U52" s="100"/>
      <c r="V52" s="265"/>
      <c r="W52" s="1"/>
      <c r="X52" s="1"/>
    </row>
    <row r="53" spans="1:24" s="13" customFormat="1" ht="24.95" customHeight="1" x14ac:dyDescent="0.2">
      <c r="A53" s="131" t="s">
        <v>55</v>
      </c>
      <c r="B53" s="132" t="s">
        <v>56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3"/>
      <c r="N53" s="134"/>
      <c r="O53" s="133"/>
      <c r="P53" s="132"/>
      <c r="Q53" s="135"/>
      <c r="R53" s="132"/>
      <c r="S53" s="132"/>
      <c r="T53" s="132"/>
      <c r="U53" s="135"/>
      <c r="V53" s="265"/>
      <c r="W53" s="1"/>
      <c r="X53" s="1"/>
    </row>
    <row r="54" spans="1:24" s="13" customFormat="1" ht="24.95" customHeight="1" x14ac:dyDescent="0.2">
      <c r="A54" s="136"/>
      <c r="B54" s="137" t="s">
        <v>89</v>
      </c>
      <c r="C54" s="137" t="s">
        <v>91</v>
      </c>
      <c r="D54" s="137"/>
      <c r="E54" s="137"/>
      <c r="F54" s="137"/>
      <c r="G54" s="137"/>
      <c r="H54" s="137"/>
      <c r="I54" s="137"/>
      <c r="J54" s="137"/>
      <c r="K54" s="137"/>
      <c r="L54" s="137"/>
      <c r="M54" s="138"/>
      <c r="N54" s="137">
        <f t="shared" si="3"/>
        <v>64</v>
      </c>
      <c r="O54" s="139">
        <v>96000</v>
      </c>
      <c r="P54" s="137"/>
      <c r="Q54" s="140"/>
      <c r="R54" s="137" t="s">
        <v>95</v>
      </c>
      <c r="S54" s="137"/>
      <c r="T54" s="137"/>
      <c r="U54" s="140"/>
      <c r="V54" s="265"/>
      <c r="W54" s="1"/>
      <c r="X54" s="1"/>
    </row>
    <row r="55" spans="1:24" s="13" customFormat="1" ht="24.95" customHeight="1" x14ac:dyDescent="0.2">
      <c r="A55" s="136"/>
      <c r="B55" s="137" t="s">
        <v>90</v>
      </c>
      <c r="C55" s="137" t="s">
        <v>94</v>
      </c>
      <c r="D55" s="137"/>
      <c r="E55" s="137"/>
      <c r="F55" s="137"/>
      <c r="G55" s="137"/>
      <c r="H55" s="137"/>
      <c r="I55" s="137"/>
      <c r="J55" s="137"/>
      <c r="K55" s="137"/>
      <c r="L55" s="137"/>
      <c r="M55" s="138"/>
      <c r="N55" s="137">
        <f t="shared" si="3"/>
        <v>56</v>
      </c>
      <c r="O55" s="139">
        <v>84000</v>
      </c>
      <c r="P55" s="137"/>
      <c r="Q55" s="140"/>
      <c r="R55" s="137" t="s">
        <v>96</v>
      </c>
      <c r="S55" s="137"/>
      <c r="T55" s="137"/>
      <c r="U55" s="140"/>
      <c r="V55" s="265"/>
      <c r="W55" s="1"/>
      <c r="X55" s="1"/>
    </row>
    <row r="56" spans="1:24" s="13" customFormat="1" ht="31.5" customHeight="1" x14ac:dyDescent="0.2">
      <c r="A56" s="136"/>
      <c r="B56" s="137"/>
      <c r="C56" s="141" t="s">
        <v>116</v>
      </c>
      <c r="D56" s="137"/>
      <c r="E56" s="137"/>
      <c r="F56" s="137"/>
      <c r="G56" s="137"/>
      <c r="H56" s="137"/>
      <c r="I56" s="137"/>
      <c r="J56" s="137"/>
      <c r="K56" s="137"/>
      <c r="L56" s="137"/>
      <c r="M56" s="138"/>
      <c r="N56" s="141">
        <f>O56/85</f>
        <v>154.58823529411765</v>
      </c>
      <c r="O56" s="142">
        <v>13140</v>
      </c>
      <c r="P56" s="137"/>
      <c r="Q56" s="140"/>
      <c r="R56" s="301" t="s">
        <v>185</v>
      </c>
      <c r="S56" s="284"/>
      <c r="T56" s="284"/>
      <c r="U56" s="302"/>
      <c r="V56" s="265"/>
      <c r="W56" s="1"/>
      <c r="X56" s="1"/>
    </row>
    <row r="57" spans="1:24" s="13" customFormat="1" ht="24.95" customHeight="1" x14ac:dyDescent="0.2">
      <c r="A57" s="136"/>
      <c r="B57" s="137" t="s">
        <v>92</v>
      </c>
      <c r="C57" s="137" t="s">
        <v>93</v>
      </c>
      <c r="D57" s="137"/>
      <c r="E57" s="137"/>
      <c r="F57" s="137"/>
      <c r="G57" s="137"/>
      <c r="H57" s="137"/>
      <c r="I57" s="137"/>
      <c r="J57" s="137"/>
      <c r="K57" s="137"/>
      <c r="L57" s="137"/>
      <c r="M57" s="138"/>
      <c r="N57" s="137">
        <f t="shared" si="3"/>
        <v>16</v>
      </c>
      <c r="O57" s="139">
        <v>24000</v>
      </c>
      <c r="P57" s="137"/>
      <c r="Q57" s="140"/>
      <c r="R57" s="137" t="s">
        <v>97</v>
      </c>
      <c r="S57" s="137"/>
      <c r="T57" s="137"/>
      <c r="U57" s="140"/>
      <c r="V57" s="265"/>
      <c r="W57" s="1"/>
      <c r="X57" s="1"/>
    </row>
    <row r="58" spans="1:24" s="13" customFormat="1" ht="46.5" customHeight="1" x14ac:dyDescent="0.2">
      <c r="A58" s="136"/>
      <c r="B58" s="141" t="s">
        <v>99</v>
      </c>
      <c r="C58" s="141" t="s">
        <v>100</v>
      </c>
      <c r="D58" s="137"/>
      <c r="E58" s="137"/>
      <c r="F58" s="137"/>
      <c r="G58" s="137"/>
      <c r="H58" s="137"/>
      <c r="I58" s="137"/>
      <c r="J58" s="137"/>
      <c r="K58" s="137"/>
      <c r="L58" s="137"/>
      <c r="M58" s="138"/>
      <c r="N58" s="141">
        <f>O58/85</f>
        <v>677.64705882352939</v>
      </c>
      <c r="O58" s="142">
        <v>57600</v>
      </c>
      <c r="P58" s="137"/>
      <c r="Q58" s="140"/>
      <c r="R58" s="284" t="s">
        <v>184</v>
      </c>
      <c r="S58" s="285"/>
      <c r="T58" s="285"/>
      <c r="U58" s="286"/>
      <c r="V58" s="265"/>
      <c r="W58" s="1"/>
      <c r="X58" s="1"/>
    </row>
    <row r="59" spans="1:24" s="13" customFormat="1" ht="24.95" customHeight="1" x14ac:dyDescent="0.2">
      <c r="A59" s="136" t="s">
        <v>98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8"/>
      <c r="N59" s="137">
        <f t="shared" si="3"/>
        <v>183.16</v>
      </c>
      <c r="O59" s="138">
        <f>SUM(O54:O58)</f>
        <v>274740</v>
      </c>
      <c r="P59" s="137"/>
      <c r="Q59" s="140"/>
      <c r="R59" s="137"/>
      <c r="S59" s="137"/>
      <c r="T59" s="137"/>
      <c r="U59" s="140"/>
      <c r="V59" s="265"/>
      <c r="W59" s="1"/>
      <c r="X59" s="1"/>
    </row>
    <row r="60" spans="1:24" s="13" customFormat="1" ht="24.95" customHeight="1" x14ac:dyDescent="0.2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29"/>
      <c r="N60" s="143"/>
      <c r="O60" s="129"/>
      <c r="P60" s="97"/>
      <c r="Q60" s="100"/>
      <c r="R60" s="97"/>
      <c r="S60" s="97"/>
      <c r="T60" s="97"/>
      <c r="U60" s="100"/>
      <c r="V60" s="265"/>
      <c r="W60" s="1"/>
      <c r="X60" s="1"/>
    </row>
    <row r="61" spans="1:24" s="13" customFormat="1" ht="24.95" customHeight="1" x14ac:dyDescent="0.2">
      <c r="A61" s="144" t="s">
        <v>57</v>
      </c>
      <c r="B61" s="61" t="s">
        <v>58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2"/>
      <c r="N61" s="78"/>
      <c r="O61" s="62"/>
      <c r="P61" s="61"/>
      <c r="Q61" s="65"/>
      <c r="R61" s="61"/>
      <c r="S61" s="61"/>
      <c r="T61" s="61"/>
      <c r="U61" s="65"/>
      <c r="V61" s="265"/>
      <c r="W61" s="1"/>
      <c r="X61" s="1"/>
    </row>
    <row r="62" spans="1:24" s="13" customFormat="1" ht="30" customHeight="1" x14ac:dyDescent="0.2">
      <c r="A62" s="75"/>
      <c r="B62" s="68" t="s">
        <v>103</v>
      </c>
      <c r="C62" s="307" t="s">
        <v>104</v>
      </c>
      <c r="D62" s="307"/>
      <c r="E62" s="307"/>
      <c r="F62" s="307"/>
      <c r="G62" s="307"/>
      <c r="H62" s="307"/>
      <c r="I62" s="307"/>
      <c r="J62" s="307"/>
      <c r="K62" s="307"/>
      <c r="L62" s="307"/>
      <c r="M62" s="308"/>
      <c r="N62" s="68">
        <f t="shared" si="3"/>
        <v>36.99832</v>
      </c>
      <c r="O62" s="69">
        <f>O59/100*20.2</f>
        <v>55497.48</v>
      </c>
      <c r="P62" s="68"/>
      <c r="Q62" s="72"/>
      <c r="R62" s="68" t="s">
        <v>173</v>
      </c>
      <c r="S62" s="68"/>
      <c r="T62" s="68"/>
      <c r="U62" s="72"/>
      <c r="V62" s="265"/>
      <c r="W62" s="1"/>
      <c r="X62" s="1"/>
    </row>
    <row r="63" spans="1:24" s="13" customFormat="1" ht="84.75" customHeight="1" x14ac:dyDescent="0.2">
      <c r="A63" s="145"/>
      <c r="B63" s="78" t="s">
        <v>87</v>
      </c>
      <c r="C63" s="293" t="s">
        <v>128</v>
      </c>
      <c r="D63" s="293"/>
      <c r="E63" s="293"/>
      <c r="F63" s="293"/>
      <c r="G63" s="293"/>
      <c r="H63" s="293"/>
      <c r="I63" s="293"/>
      <c r="J63" s="293"/>
      <c r="K63" s="293"/>
      <c r="L63" s="293"/>
      <c r="M63" s="294"/>
      <c r="N63" s="68">
        <f t="shared" si="3"/>
        <v>1.3333333333333333</v>
      </c>
      <c r="O63" s="146">
        <v>2000</v>
      </c>
      <c r="P63" s="78"/>
      <c r="Q63" s="82"/>
      <c r="R63" s="298" t="s">
        <v>193</v>
      </c>
      <c r="S63" s="299"/>
      <c r="T63" s="299"/>
      <c r="U63" s="300"/>
      <c r="V63" s="265"/>
      <c r="W63" s="1"/>
      <c r="X63" s="1"/>
    </row>
    <row r="64" spans="1:24" s="13" customFormat="1" ht="24.95" customHeight="1" x14ac:dyDescent="0.2">
      <c r="A64" s="75"/>
      <c r="B64" s="68" t="s">
        <v>65</v>
      </c>
      <c r="C64" s="68" t="s">
        <v>69</v>
      </c>
      <c r="D64" s="68"/>
      <c r="E64" s="68"/>
      <c r="F64" s="68"/>
      <c r="G64" s="68"/>
      <c r="H64" s="68"/>
      <c r="I64" s="68"/>
      <c r="J64" s="68"/>
      <c r="K64" s="68"/>
      <c r="L64" s="68"/>
      <c r="M64" s="69"/>
      <c r="N64" s="68">
        <f t="shared" si="3"/>
        <v>4</v>
      </c>
      <c r="O64" s="147">
        <v>6000</v>
      </c>
      <c r="P64" s="68"/>
      <c r="Q64" s="72"/>
      <c r="R64" s="68" t="s">
        <v>206</v>
      </c>
      <c r="S64" s="68"/>
      <c r="T64" s="68"/>
      <c r="U64" s="72"/>
      <c r="V64" s="265"/>
      <c r="W64" s="1"/>
      <c r="X64" s="1"/>
    </row>
    <row r="65" spans="1:24" s="13" customFormat="1" ht="24.95" customHeight="1" x14ac:dyDescent="0.2">
      <c r="A65" s="75"/>
      <c r="B65" s="68" t="s">
        <v>70</v>
      </c>
      <c r="C65" s="68" t="s">
        <v>71</v>
      </c>
      <c r="D65" s="68"/>
      <c r="E65" s="68"/>
      <c r="F65" s="68"/>
      <c r="G65" s="68"/>
      <c r="H65" s="68"/>
      <c r="I65" s="68"/>
      <c r="J65" s="68"/>
      <c r="K65" s="68"/>
      <c r="L65" s="68"/>
      <c r="M65" s="69"/>
      <c r="N65" s="68">
        <f t="shared" si="3"/>
        <v>1.3333333333333333</v>
      </c>
      <c r="O65" s="147">
        <v>2000</v>
      </c>
      <c r="P65" s="68"/>
      <c r="Q65" s="72"/>
      <c r="R65" s="68"/>
      <c r="S65" s="68"/>
      <c r="T65" s="68"/>
      <c r="U65" s="72"/>
      <c r="V65" s="265"/>
      <c r="W65" s="1"/>
      <c r="X65" s="1"/>
    </row>
    <row r="66" spans="1:24" s="13" customFormat="1" ht="24.95" customHeight="1" x14ac:dyDescent="0.2">
      <c r="A66" s="75"/>
      <c r="B66" s="68" t="s">
        <v>65</v>
      </c>
      <c r="C66" s="68" t="s">
        <v>72</v>
      </c>
      <c r="D66" s="68"/>
      <c r="E66" s="68"/>
      <c r="F66" s="68"/>
      <c r="G66" s="68"/>
      <c r="H66" s="68"/>
      <c r="I66" s="68"/>
      <c r="J66" s="68"/>
      <c r="K66" s="68"/>
      <c r="L66" s="68"/>
      <c r="M66" s="69"/>
      <c r="N66" s="68">
        <f t="shared" si="3"/>
        <v>4</v>
      </c>
      <c r="O66" s="147">
        <v>6000</v>
      </c>
      <c r="P66" s="68"/>
      <c r="Q66" s="72"/>
      <c r="R66" s="68"/>
      <c r="S66" s="68"/>
      <c r="T66" s="68"/>
      <c r="U66" s="72"/>
      <c r="V66" s="265"/>
      <c r="W66" s="1"/>
      <c r="X66" s="1"/>
    </row>
    <row r="67" spans="1:24" s="13" customFormat="1" ht="39.75" customHeight="1" x14ac:dyDescent="0.2">
      <c r="A67" s="75"/>
      <c r="B67" s="68" t="s">
        <v>70</v>
      </c>
      <c r="C67" s="299" t="s">
        <v>73</v>
      </c>
      <c r="D67" s="299"/>
      <c r="E67" s="299"/>
      <c r="F67" s="299"/>
      <c r="G67" s="299"/>
      <c r="H67" s="299"/>
      <c r="I67" s="299"/>
      <c r="J67" s="299"/>
      <c r="K67" s="299"/>
      <c r="L67" s="299"/>
      <c r="M67" s="306"/>
      <c r="N67" s="68">
        <f t="shared" si="3"/>
        <v>5.333333333333333</v>
      </c>
      <c r="O67" s="147">
        <v>8000</v>
      </c>
      <c r="P67" s="68"/>
      <c r="Q67" s="72"/>
      <c r="R67" s="68"/>
      <c r="S67" s="68"/>
      <c r="T67" s="68"/>
      <c r="U67" s="72"/>
      <c r="V67" s="265"/>
      <c r="W67" s="1"/>
      <c r="X67" s="1"/>
    </row>
    <row r="68" spans="1:24" s="13" customFormat="1" ht="35.25" customHeight="1" x14ac:dyDescent="0.2">
      <c r="A68" s="75"/>
      <c r="B68" s="68" t="s">
        <v>85</v>
      </c>
      <c r="C68" s="299" t="s">
        <v>86</v>
      </c>
      <c r="D68" s="299"/>
      <c r="E68" s="299"/>
      <c r="F68" s="299"/>
      <c r="G68" s="299"/>
      <c r="H68" s="299"/>
      <c r="I68" s="299"/>
      <c r="J68" s="299"/>
      <c r="K68" s="299"/>
      <c r="L68" s="299"/>
      <c r="M68" s="306"/>
      <c r="N68" s="68">
        <f t="shared" si="3"/>
        <v>26.666666666666668</v>
      </c>
      <c r="O68" s="147">
        <v>40000</v>
      </c>
      <c r="P68" s="68"/>
      <c r="Q68" s="72"/>
      <c r="R68" s="68"/>
      <c r="S68" s="68"/>
      <c r="T68" s="68"/>
      <c r="U68" s="72"/>
      <c r="V68" s="265"/>
      <c r="W68" s="1"/>
      <c r="X68" s="1"/>
    </row>
    <row r="69" spans="1:24" s="13" customFormat="1" ht="35.25" customHeight="1" x14ac:dyDescent="0.2">
      <c r="A69" s="75" t="s">
        <v>115</v>
      </c>
      <c r="B69" s="6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9"/>
      <c r="N69" s="68">
        <f t="shared" si="3"/>
        <v>79.664986666666678</v>
      </c>
      <c r="O69" s="150">
        <f>SUM(O62:O68)</f>
        <v>119497.48000000001</v>
      </c>
      <c r="P69" s="68"/>
      <c r="Q69" s="72"/>
      <c r="R69" s="68"/>
      <c r="S69" s="68"/>
      <c r="T69" s="68"/>
      <c r="U69" s="72"/>
      <c r="V69" s="265"/>
      <c r="W69" s="1"/>
      <c r="X69" s="1"/>
    </row>
    <row r="70" spans="1:24" s="13" customFormat="1" ht="24.75" customHeight="1" x14ac:dyDescent="0.2">
      <c r="A70" s="53" t="s">
        <v>105</v>
      </c>
      <c r="B70" s="55" t="s">
        <v>106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151">
        <f t="shared" si="3"/>
        <v>12.666666666666666</v>
      </c>
      <c r="O70" s="152">
        <v>19000</v>
      </c>
      <c r="P70" s="55"/>
      <c r="Q70" s="58"/>
      <c r="R70" s="55" t="s">
        <v>194</v>
      </c>
      <c r="S70" s="55"/>
      <c r="T70" s="55"/>
      <c r="U70" s="58"/>
      <c r="V70" s="265"/>
      <c r="W70" s="1"/>
      <c r="X70" s="1"/>
    </row>
    <row r="71" spans="1:24" s="13" customFormat="1" ht="24.75" customHeight="1" x14ac:dyDescent="0.2">
      <c r="A71" s="153" t="s">
        <v>143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5"/>
      <c r="N71" s="156">
        <f t="shared" si="3"/>
        <v>354.20498666666663</v>
      </c>
      <c r="O71" s="157">
        <f>SUM(O51,O59,O69,70)</f>
        <v>531307.48</v>
      </c>
      <c r="P71" s="154"/>
      <c r="Q71" s="158"/>
      <c r="R71" s="154"/>
      <c r="S71" s="154"/>
      <c r="T71" s="154"/>
      <c r="U71" s="158"/>
      <c r="V71" s="265"/>
      <c r="W71" s="1"/>
      <c r="X71" s="1"/>
    </row>
    <row r="72" spans="1:24" s="13" customFormat="1" ht="24.75" customHeight="1" x14ac:dyDescent="0.2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129"/>
      <c r="N72" s="97"/>
      <c r="O72" s="159"/>
      <c r="P72" s="97"/>
      <c r="Q72" s="100"/>
      <c r="R72" s="97"/>
      <c r="S72" s="97"/>
      <c r="T72" s="97"/>
      <c r="U72" s="100"/>
      <c r="V72" s="265"/>
      <c r="W72" s="1"/>
      <c r="X72" s="1"/>
    </row>
    <row r="73" spans="1:24" s="13" customFormat="1" ht="48" customHeight="1" x14ac:dyDescent="0.2">
      <c r="A73" s="96" t="s">
        <v>50</v>
      </c>
      <c r="B73" s="309" t="s">
        <v>129</v>
      </c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10"/>
      <c r="N73" s="97"/>
      <c r="O73" s="160"/>
      <c r="P73" s="97"/>
      <c r="Q73" s="100"/>
      <c r="R73" s="97"/>
      <c r="S73" s="97"/>
      <c r="T73" s="97"/>
      <c r="U73" s="100"/>
      <c r="V73" s="265"/>
      <c r="W73" s="1"/>
      <c r="X73" s="1"/>
    </row>
    <row r="74" spans="1:24" s="13" customFormat="1" ht="24.75" customHeight="1" x14ac:dyDescent="0.2">
      <c r="A74" s="73" t="s">
        <v>111</v>
      </c>
      <c r="B74" s="61" t="s">
        <v>54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2"/>
      <c r="N74" s="61"/>
      <c r="O74" s="62"/>
      <c r="P74" s="61"/>
      <c r="Q74" s="65"/>
      <c r="R74" s="61"/>
      <c r="S74" s="61"/>
      <c r="T74" s="61"/>
      <c r="U74" s="65"/>
      <c r="V74" s="265"/>
      <c r="W74" s="1"/>
      <c r="X74" s="1"/>
    </row>
    <row r="75" spans="1:24" s="13" customFormat="1" ht="24.75" customHeight="1" x14ac:dyDescent="0.2">
      <c r="A75" s="75"/>
      <c r="B75" s="161" t="s">
        <v>125</v>
      </c>
      <c r="C75" s="161" t="s">
        <v>174</v>
      </c>
      <c r="D75" s="162"/>
      <c r="E75" s="162"/>
      <c r="F75" s="162"/>
      <c r="G75" s="162"/>
      <c r="H75" s="162"/>
      <c r="I75" s="162"/>
      <c r="J75" s="162"/>
      <c r="K75" s="162"/>
      <c r="L75" s="162"/>
      <c r="M75" s="163"/>
      <c r="N75" s="67">
        <f>O75/85</f>
        <v>176.47058823529412</v>
      </c>
      <c r="O75" s="76">
        <v>15000</v>
      </c>
      <c r="P75" s="68"/>
      <c r="Q75" s="164">
        <f>(O75/O79)</f>
        <v>0.83333333333333337</v>
      </c>
      <c r="R75" s="68"/>
      <c r="S75" s="68"/>
      <c r="T75" s="68"/>
      <c r="U75" s="72"/>
      <c r="V75" s="265"/>
      <c r="W75" s="1"/>
      <c r="X75" s="1"/>
    </row>
    <row r="76" spans="1:24" s="13" customFormat="1" ht="24.75" customHeight="1" x14ac:dyDescent="0.2">
      <c r="A76" s="75"/>
      <c r="B76" s="67" t="s">
        <v>126</v>
      </c>
      <c r="C76" s="67" t="s">
        <v>175</v>
      </c>
      <c r="D76" s="68"/>
      <c r="E76" s="68"/>
      <c r="F76" s="68"/>
      <c r="G76" s="68"/>
      <c r="H76" s="68"/>
      <c r="I76" s="68"/>
      <c r="J76" s="68"/>
      <c r="K76" s="68"/>
      <c r="L76" s="68"/>
      <c r="M76" s="69"/>
      <c r="N76" s="67">
        <f t="shared" ref="N76:N79" si="4">O76/85</f>
        <v>23.529411764705884</v>
      </c>
      <c r="O76" s="76">
        <v>2000</v>
      </c>
      <c r="P76" s="68"/>
      <c r="Q76" s="164">
        <f>(O76/O79)</f>
        <v>0.1111111111111111</v>
      </c>
      <c r="R76" s="68"/>
      <c r="S76" s="68"/>
      <c r="T76" s="68"/>
      <c r="U76" s="72"/>
      <c r="V76" s="265"/>
      <c r="W76" s="1"/>
      <c r="X76" s="1"/>
    </row>
    <row r="77" spans="1:24" s="13" customFormat="1" ht="24.75" customHeight="1" x14ac:dyDescent="0.2">
      <c r="A77" s="75"/>
      <c r="B77" s="67" t="s">
        <v>169</v>
      </c>
      <c r="C77" s="67"/>
      <c r="D77" s="68"/>
      <c r="E77" s="68"/>
      <c r="F77" s="68"/>
      <c r="G77" s="68"/>
      <c r="H77" s="68"/>
      <c r="I77" s="68"/>
      <c r="J77" s="68"/>
      <c r="K77" s="68"/>
      <c r="L77" s="68"/>
      <c r="M77" s="69"/>
      <c r="N77" s="67">
        <f t="shared" si="4"/>
        <v>0</v>
      </c>
      <c r="O77" s="76">
        <v>0</v>
      </c>
      <c r="P77" s="68"/>
      <c r="Q77" s="164">
        <f>(O77/O79)</f>
        <v>0</v>
      </c>
      <c r="R77" s="68"/>
      <c r="S77" s="68"/>
      <c r="T77" s="68"/>
      <c r="U77" s="72"/>
      <c r="V77" s="265"/>
      <c r="W77" s="1"/>
      <c r="X77" s="1"/>
    </row>
    <row r="78" spans="1:24" s="13" customFormat="1" ht="24.75" customHeight="1" x14ac:dyDescent="0.2">
      <c r="A78" s="75"/>
      <c r="B78" s="67" t="s">
        <v>170</v>
      </c>
      <c r="C78" s="67" t="s">
        <v>176</v>
      </c>
      <c r="D78" s="68"/>
      <c r="E78" s="68"/>
      <c r="F78" s="68"/>
      <c r="G78" s="68"/>
      <c r="H78" s="68"/>
      <c r="I78" s="68"/>
      <c r="J78" s="68"/>
      <c r="K78" s="68"/>
      <c r="L78" s="68"/>
      <c r="M78" s="69"/>
      <c r="N78" s="67">
        <f t="shared" si="4"/>
        <v>11.764705882352942</v>
      </c>
      <c r="O78" s="76">
        <v>1000</v>
      </c>
      <c r="P78" s="68"/>
      <c r="Q78" s="164">
        <f>(O78/O79)</f>
        <v>5.5555555555555552E-2</v>
      </c>
      <c r="R78" s="68"/>
      <c r="S78" s="68"/>
      <c r="T78" s="68"/>
      <c r="U78" s="72"/>
      <c r="V78" s="265"/>
      <c r="W78" s="1"/>
      <c r="X78" s="1"/>
    </row>
    <row r="79" spans="1:24" s="13" customFormat="1" ht="24.75" customHeight="1" x14ac:dyDescent="0.2">
      <c r="A79" s="75" t="s">
        <v>101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9"/>
      <c r="N79" s="67">
        <f t="shared" si="4"/>
        <v>211.76470588235293</v>
      </c>
      <c r="O79" s="150">
        <f>SUM(O75:O78)</f>
        <v>18000</v>
      </c>
      <c r="P79" s="68"/>
      <c r="Q79" s="164">
        <f>(O79/O79)</f>
        <v>1</v>
      </c>
      <c r="R79" s="68"/>
      <c r="S79" s="68"/>
      <c r="T79" s="68"/>
      <c r="U79" s="72"/>
      <c r="V79" s="265"/>
      <c r="W79" s="1"/>
      <c r="X79" s="1"/>
    </row>
    <row r="80" spans="1:24" s="13" customFormat="1" ht="24.75" customHeight="1" x14ac:dyDescent="0.2">
      <c r="A80" s="96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129"/>
      <c r="N80" s="97"/>
      <c r="O80" s="129"/>
      <c r="P80" s="97"/>
      <c r="Q80" s="100"/>
      <c r="R80" s="97"/>
      <c r="S80" s="97"/>
      <c r="T80" s="97"/>
      <c r="U80" s="100"/>
      <c r="V80" s="265"/>
      <c r="W80" s="1"/>
      <c r="X80" s="1"/>
    </row>
    <row r="81" spans="1:24" s="13" customFormat="1" ht="24.75" customHeight="1" x14ac:dyDescent="0.2">
      <c r="A81" s="165" t="s">
        <v>112</v>
      </c>
      <c r="B81" s="40" t="s">
        <v>56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1"/>
      <c r="N81" s="40"/>
      <c r="O81" s="41"/>
      <c r="P81" s="40"/>
      <c r="Q81" s="43"/>
      <c r="R81" s="40"/>
      <c r="S81" s="40"/>
      <c r="T81" s="40"/>
      <c r="U81" s="43"/>
      <c r="V81" s="265"/>
      <c r="W81" s="1"/>
      <c r="X81" s="1"/>
    </row>
    <row r="82" spans="1:24" s="13" customFormat="1" ht="24.75" customHeight="1" x14ac:dyDescent="0.2">
      <c r="A82" s="44"/>
      <c r="B82" s="166" t="s">
        <v>135</v>
      </c>
      <c r="C82" s="166" t="s">
        <v>91</v>
      </c>
      <c r="D82" s="45"/>
      <c r="E82" s="45"/>
      <c r="F82" s="45"/>
      <c r="G82" s="45"/>
      <c r="H82" s="45"/>
      <c r="I82" s="45"/>
      <c r="J82" s="45"/>
      <c r="K82" s="45"/>
      <c r="L82" s="45"/>
      <c r="M82" s="46"/>
      <c r="N82" s="166">
        <f>O82/85</f>
        <v>11.764705882352942</v>
      </c>
      <c r="O82" s="167">
        <v>1000</v>
      </c>
      <c r="P82" s="45"/>
      <c r="Q82" s="49"/>
      <c r="R82" s="45"/>
      <c r="S82" s="45"/>
      <c r="T82" s="45"/>
      <c r="U82" s="49"/>
      <c r="V82" s="265"/>
      <c r="W82" s="1"/>
      <c r="X82" s="1"/>
    </row>
    <row r="83" spans="1:24" s="13" customFormat="1" ht="24.75" customHeight="1" x14ac:dyDescent="0.2">
      <c r="A83" s="44"/>
      <c r="B83" s="166" t="s">
        <v>136</v>
      </c>
      <c r="C83" s="166" t="s">
        <v>94</v>
      </c>
      <c r="D83" s="45"/>
      <c r="E83" s="45"/>
      <c r="F83" s="45"/>
      <c r="G83" s="45"/>
      <c r="H83" s="45"/>
      <c r="I83" s="45"/>
      <c r="J83" s="45"/>
      <c r="K83" s="45"/>
      <c r="L83" s="45"/>
      <c r="M83" s="46"/>
      <c r="N83" s="166">
        <f t="shared" ref="N83:N84" si="5">O83/85</f>
        <v>5.882352941176471</v>
      </c>
      <c r="O83" s="167">
        <v>500</v>
      </c>
      <c r="P83" s="45"/>
      <c r="Q83" s="49"/>
      <c r="R83" s="45"/>
      <c r="S83" s="45"/>
      <c r="T83" s="45"/>
      <c r="U83" s="49"/>
      <c r="V83" s="265"/>
      <c r="W83" s="1"/>
      <c r="X83" s="1"/>
    </row>
    <row r="84" spans="1:24" s="13" customFormat="1" ht="24.75" customHeight="1" x14ac:dyDescent="0.2">
      <c r="A84" s="44"/>
      <c r="B84" s="166" t="s">
        <v>137</v>
      </c>
      <c r="C84" s="166" t="s">
        <v>127</v>
      </c>
      <c r="D84" s="45"/>
      <c r="E84" s="45"/>
      <c r="F84" s="45"/>
      <c r="G84" s="45"/>
      <c r="H84" s="45"/>
      <c r="I84" s="45"/>
      <c r="J84" s="45"/>
      <c r="K84" s="45"/>
      <c r="L84" s="45"/>
      <c r="M84" s="46"/>
      <c r="N84" s="166">
        <f t="shared" si="5"/>
        <v>70.588235294117652</v>
      </c>
      <c r="O84" s="167">
        <v>6000</v>
      </c>
      <c r="P84" s="45"/>
      <c r="Q84" s="49"/>
      <c r="R84" s="45"/>
      <c r="S84" s="45"/>
      <c r="T84" s="45"/>
      <c r="U84" s="49"/>
      <c r="V84" s="265"/>
      <c r="W84" s="1"/>
      <c r="X84" s="1"/>
    </row>
    <row r="85" spans="1:24" s="13" customFormat="1" ht="24.75" customHeight="1" x14ac:dyDescent="0.2">
      <c r="A85" s="44" t="s">
        <v>98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6"/>
      <c r="N85" s="166">
        <f>O85/85</f>
        <v>88.235294117647058</v>
      </c>
      <c r="O85" s="46">
        <f>SUM(O82:O84)</f>
        <v>7500</v>
      </c>
      <c r="P85" s="45"/>
      <c r="Q85" s="49"/>
      <c r="R85" s="45"/>
      <c r="S85" s="45"/>
      <c r="T85" s="45"/>
      <c r="U85" s="49"/>
      <c r="V85" s="265"/>
      <c r="W85" s="1"/>
      <c r="X85" s="1"/>
    </row>
    <row r="86" spans="1:24" s="13" customFormat="1" ht="24.75" customHeight="1" x14ac:dyDescent="0.2">
      <c r="A86" s="96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129"/>
      <c r="N86" s="97"/>
      <c r="O86" s="129"/>
      <c r="P86" s="97"/>
      <c r="Q86" s="100"/>
      <c r="R86" s="97"/>
      <c r="S86" s="97"/>
      <c r="T86" s="97"/>
      <c r="U86" s="100"/>
      <c r="V86" s="265"/>
      <c r="W86" s="1"/>
      <c r="X86" s="1"/>
    </row>
    <row r="87" spans="1:24" s="13" customFormat="1" ht="24.75" customHeight="1" x14ac:dyDescent="0.2">
      <c r="A87" s="168" t="s">
        <v>113</v>
      </c>
      <c r="B87" s="169" t="s">
        <v>58</v>
      </c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70"/>
      <c r="N87" s="169"/>
      <c r="O87" s="170"/>
      <c r="P87" s="169"/>
      <c r="Q87" s="171"/>
      <c r="R87" s="169"/>
      <c r="S87" s="169"/>
      <c r="T87" s="169"/>
      <c r="U87" s="171"/>
      <c r="V87" s="266"/>
      <c r="W87" s="1"/>
      <c r="X87" s="1"/>
    </row>
    <row r="88" spans="1:24" s="13" customFormat="1" ht="33.75" customHeight="1" x14ac:dyDescent="0.2">
      <c r="A88" s="172"/>
      <c r="B88" s="173" t="s">
        <v>138</v>
      </c>
      <c r="C88" s="295" t="s">
        <v>104</v>
      </c>
      <c r="D88" s="295"/>
      <c r="E88" s="295"/>
      <c r="F88" s="295"/>
      <c r="G88" s="295"/>
      <c r="H88" s="295"/>
      <c r="I88" s="295"/>
      <c r="J88" s="295"/>
      <c r="K88" s="295"/>
      <c r="L88" s="295"/>
      <c r="M88" s="296"/>
      <c r="N88" s="173">
        <f>O88/85</f>
        <v>17.647058823529413</v>
      </c>
      <c r="O88" s="174">
        <f>O85/100*20</f>
        <v>1500</v>
      </c>
      <c r="P88" s="175"/>
      <c r="Q88" s="176"/>
      <c r="R88" s="175"/>
      <c r="S88" s="175"/>
      <c r="T88" s="175"/>
      <c r="U88" s="176"/>
      <c r="V88" s="266"/>
      <c r="W88" s="1"/>
      <c r="X88" s="1"/>
    </row>
    <row r="89" spans="1:24" s="13" customFormat="1" ht="32.25" customHeight="1" x14ac:dyDescent="0.2">
      <c r="A89" s="172"/>
      <c r="B89" s="173" t="s">
        <v>139</v>
      </c>
      <c r="C89" s="295" t="s">
        <v>102</v>
      </c>
      <c r="D89" s="295"/>
      <c r="E89" s="295"/>
      <c r="F89" s="295"/>
      <c r="G89" s="295"/>
      <c r="H89" s="295"/>
      <c r="I89" s="295"/>
      <c r="J89" s="295"/>
      <c r="K89" s="295"/>
      <c r="L89" s="295"/>
      <c r="M89" s="296"/>
      <c r="N89" s="173">
        <f t="shared" ref="N89:N92" si="6">O89/85</f>
        <v>11.764705882352942</v>
      </c>
      <c r="O89" s="177">
        <v>1000</v>
      </c>
      <c r="P89" s="175"/>
      <c r="Q89" s="176"/>
      <c r="R89" s="175"/>
      <c r="S89" s="175"/>
      <c r="T89" s="175"/>
      <c r="U89" s="176"/>
      <c r="V89" s="266"/>
      <c r="W89" s="1"/>
      <c r="X89" s="1"/>
    </row>
    <row r="90" spans="1:24" s="13" customFormat="1" ht="24.75" customHeight="1" x14ac:dyDescent="0.2">
      <c r="A90" s="172"/>
      <c r="B90" s="173" t="s">
        <v>140</v>
      </c>
      <c r="C90" s="173" t="s">
        <v>72</v>
      </c>
      <c r="D90" s="173"/>
      <c r="E90" s="173"/>
      <c r="F90" s="173"/>
      <c r="G90" s="173"/>
      <c r="H90" s="173"/>
      <c r="I90" s="173"/>
      <c r="J90" s="173"/>
      <c r="K90" s="173"/>
      <c r="L90" s="173"/>
      <c r="M90" s="177"/>
      <c r="N90" s="173">
        <f t="shared" si="6"/>
        <v>5.882352941176471</v>
      </c>
      <c r="O90" s="177">
        <v>500</v>
      </c>
      <c r="P90" s="175"/>
      <c r="Q90" s="176"/>
      <c r="R90" s="175"/>
      <c r="S90" s="175"/>
      <c r="T90" s="175"/>
      <c r="U90" s="176"/>
      <c r="V90" s="266"/>
      <c r="W90" s="1"/>
      <c r="X90" s="1"/>
    </row>
    <row r="91" spans="1:24" s="13" customFormat="1" ht="33" customHeight="1" x14ac:dyDescent="0.2">
      <c r="A91" s="172"/>
      <c r="B91" s="173" t="s">
        <v>141</v>
      </c>
      <c r="C91" s="295" t="s">
        <v>73</v>
      </c>
      <c r="D91" s="295"/>
      <c r="E91" s="295"/>
      <c r="F91" s="295"/>
      <c r="G91" s="295"/>
      <c r="H91" s="295"/>
      <c r="I91" s="295"/>
      <c r="J91" s="295"/>
      <c r="K91" s="295"/>
      <c r="L91" s="295"/>
      <c r="M91" s="296"/>
      <c r="N91" s="173">
        <f t="shared" si="6"/>
        <v>5.882352941176471</v>
      </c>
      <c r="O91" s="177">
        <v>500</v>
      </c>
      <c r="P91" s="175"/>
      <c r="Q91" s="176"/>
      <c r="R91" s="175"/>
      <c r="S91" s="175"/>
      <c r="T91" s="175"/>
      <c r="U91" s="176"/>
      <c r="V91" s="266"/>
      <c r="W91" s="1"/>
      <c r="X91" s="1"/>
    </row>
    <row r="92" spans="1:24" s="13" customFormat="1" ht="24.75" customHeight="1" x14ac:dyDescent="0.2">
      <c r="A92" s="172" t="s">
        <v>115</v>
      </c>
      <c r="B92" s="175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9"/>
      <c r="N92" s="173">
        <f t="shared" si="6"/>
        <v>41.176470588235297</v>
      </c>
      <c r="O92" s="174">
        <f>SUM(O88:O91)</f>
        <v>3500</v>
      </c>
      <c r="P92" s="175"/>
      <c r="Q92" s="176"/>
      <c r="R92" s="175"/>
      <c r="S92" s="175"/>
      <c r="T92" s="175"/>
      <c r="U92" s="176"/>
      <c r="V92" s="266"/>
      <c r="W92" s="4"/>
      <c r="X92" s="4"/>
    </row>
    <row r="93" spans="1:24" s="13" customFormat="1" ht="31.5" customHeight="1" x14ac:dyDescent="0.2">
      <c r="A93" s="180" t="s">
        <v>142</v>
      </c>
      <c r="B93" s="181" t="s">
        <v>122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181">
        <f>O93/85</f>
        <v>117.64705882352941</v>
      </c>
      <c r="O93" s="182">
        <v>10000</v>
      </c>
      <c r="P93" s="55"/>
      <c r="Q93" s="58"/>
      <c r="R93" s="287"/>
      <c r="S93" s="288"/>
      <c r="T93" s="288"/>
      <c r="U93" s="289"/>
      <c r="V93" s="265"/>
      <c r="W93" s="1"/>
      <c r="X93" s="1"/>
    </row>
    <row r="94" spans="1:24" s="13" customFormat="1" ht="32.25" customHeight="1" x14ac:dyDescent="0.2">
      <c r="A94" s="153" t="s">
        <v>144</v>
      </c>
      <c r="B94" s="183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5"/>
      <c r="N94" s="154">
        <f>O94/85</f>
        <v>458.8235294117647</v>
      </c>
      <c r="O94" s="157">
        <f>SUM(O79,O85,O92,O93)</f>
        <v>39000</v>
      </c>
      <c r="P94" s="154"/>
      <c r="Q94" s="158"/>
      <c r="R94" s="281" t="s">
        <v>183</v>
      </c>
      <c r="S94" s="282"/>
      <c r="T94" s="282"/>
      <c r="U94" s="283"/>
      <c r="V94" s="265"/>
      <c r="W94" s="1"/>
      <c r="X94" s="1"/>
    </row>
    <row r="95" spans="1:24" s="13" customFormat="1" ht="24.95" customHeight="1" x14ac:dyDescent="0.2">
      <c r="A95" s="96"/>
      <c r="B95" s="184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129"/>
      <c r="N95" s="154"/>
      <c r="O95" s="185"/>
      <c r="P95" s="97"/>
      <c r="Q95" s="100"/>
      <c r="R95" s="97"/>
      <c r="S95" s="97"/>
      <c r="T95" s="97"/>
      <c r="U95" s="100"/>
      <c r="V95" s="265"/>
      <c r="W95" s="1"/>
      <c r="X95" s="1"/>
    </row>
    <row r="96" spans="1:24" s="13" customFormat="1" ht="35.25" customHeight="1" x14ac:dyDescent="0.2">
      <c r="A96" s="186" t="s">
        <v>133</v>
      </c>
      <c r="B96" s="154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8"/>
      <c r="N96" s="154"/>
      <c r="O96" s="189">
        <f>SUM(O51,O59,O69,O70,O79,O85,O92,O93)</f>
        <v>589237.48</v>
      </c>
      <c r="P96" s="154"/>
      <c r="Q96" s="158"/>
      <c r="R96" s="281" t="s">
        <v>195</v>
      </c>
      <c r="S96" s="282"/>
      <c r="T96" s="282"/>
      <c r="U96" s="283"/>
      <c r="V96" s="265"/>
      <c r="W96" s="1"/>
      <c r="X96" s="1"/>
    </row>
    <row r="97" spans="1:24" s="13" customFormat="1" ht="24.95" customHeight="1" x14ac:dyDescent="0.2">
      <c r="A97" s="190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2"/>
      <c r="N97" s="191"/>
      <c r="O97" s="192"/>
      <c r="P97" s="97"/>
      <c r="Q97" s="100"/>
      <c r="R97" s="97"/>
      <c r="S97" s="97"/>
      <c r="T97" s="97"/>
      <c r="U97" s="100"/>
      <c r="V97" s="265"/>
      <c r="W97" s="1"/>
      <c r="X97" s="1"/>
    </row>
    <row r="98" spans="1:24" s="13" customFormat="1" ht="24.95" customHeight="1" x14ac:dyDescent="0.2">
      <c r="A98" s="193" t="s">
        <v>50</v>
      </c>
      <c r="B98" s="194" t="s">
        <v>52</v>
      </c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6"/>
      <c r="N98" s="195"/>
      <c r="O98" s="196"/>
      <c r="P98" s="195"/>
      <c r="Q98" s="197"/>
      <c r="R98" s="195"/>
      <c r="S98" s="195"/>
      <c r="T98" s="195"/>
      <c r="U98" s="197"/>
      <c r="V98" s="264"/>
      <c r="W98" s="12"/>
    </row>
    <row r="99" spans="1:24" s="13" customFormat="1" ht="24.95" customHeight="1" x14ac:dyDescent="0.2">
      <c r="A99" s="198" t="s">
        <v>111</v>
      </c>
      <c r="B99" s="199" t="s">
        <v>77</v>
      </c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200"/>
      <c r="N99" s="199">
        <f>O99/1500</f>
        <v>30</v>
      </c>
      <c r="O99" s="201">
        <v>45000</v>
      </c>
      <c r="P99" s="199"/>
      <c r="Q99" s="202"/>
      <c r="R99" s="199"/>
      <c r="S99" s="199"/>
      <c r="T99" s="199"/>
      <c r="U99" s="202"/>
      <c r="V99" s="264"/>
      <c r="W99" s="12"/>
    </row>
    <row r="100" spans="1:24" s="13" customFormat="1" ht="24.95" customHeight="1" x14ac:dyDescent="0.2">
      <c r="A100" s="198" t="s">
        <v>112</v>
      </c>
      <c r="B100" s="199" t="s">
        <v>78</v>
      </c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200"/>
      <c r="N100" s="199">
        <f t="shared" ref="N100:N102" si="7">O100/1500</f>
        <v>10</v>
      </c>
      <c r="O100" s="201">
        <v>15000</v>
      </c>
      <c r="P100" s="199"/>
      <c r="Q100" s="202"/>
      <c r="R100" s="199"/>
      <c r="S100" s="199"/>
      <c r="T100" s="199"/>
      <c r="U100" s="202"/>
      <c r="V100" s="264"/>
      <c r="W100" s="12"/>
    </row>
    <row r="101" spans="1:24" s="13" customFormat="1" ht="36" customHeight="1" x14ac:dyDescent="0.2">
      <c r="A101" s="198" t="s">
        <v>113</v>
      </c>
      <c r="B101" s="318" t="s">
        <v>76</v>
      </c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9"/>
      <c r="N101" s="199">
        <f t="shared" si="7"/>
        <v>1.3333333333333333</v>
      </c>
      <c r="O101" s="201">
        <v>2000</v>
      </c>
      <c r="P101" s="199"/>
      <c r="Q101" s="202"/>
      <c r="R101" s="199"/>
      <c r="S101" s="199"/>
      <c r="T101" s="199"/>
      <c r="U101" s="202"/>
      <c r="V101" s="264"/>
      <c r="W101" s="12"/>
    </row>
    <row r="102" spans="1:24" s="13" customFormat="1" ht="24.95" customHeight="1" x14ac:dyDescent="0.2">
      <c r="A102" s="203" t="s">
        <v>110</v>
      </c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200"/>
      <c r="N102" s="199">
        <f t="shared" si="7"/>
        <v>41.333333333333336</v>
      </c>
      <c r="O102" s="204">
        <f>SUM(O99:O101)</f>
        <v>62000</v>
      </c>
      <c r="P102" s="199"/>
      <c r="Q102" s="202"/>
      <c r="R102" s="199"/>
      <c r="S102" s="199"/>
      <c r="T102" s="199"/>
      <c r="U102" s="202"/>
      <c r="V102" s="264"/>
      <c r="W102" s="12"/>
    </row>
    <row r="103" spans="1:24" s="13" customFormat="1" ht="24.95" customHeight="1" x14ac:dyDescent="0.2">
      <c r="A103" s="96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129"/>
      <c r="N103" s="97"/>
      <c r="O103" s="129"/>
      <c r="P103" s="97"/>
      <c r="Q103" s="100"/>
      <c r="R103" s="97"/>
      <c r="S103" s="97"/>
      <c r="T103" s="97"/>
      <c r="U103" s="100"/>
      <c r="V103" s="265"/>
      <c r="W103" s="1"/>
    </row>
    <row r="104" spans="1:24" s="13" customFormat="1" ht="24.95" customHeight="1" x14ac:dyDescent="0.2">
      <c r="A104" s="205" t="s">
        <v>51</v>
      </c>
      <c r="B104" s="206" t="s">
        <v>82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8"/>
      <c r="N104" s="207"/>
      <c r="O104" s="208"/>
      <c r="P104" s="207"/>
      <c r="Q104" s="209"/>
      <c r="R104" s="207"/>
      <c r="S104" s="207"/>
      <c r="T104" s="207"/>
      <c r="U104" s="209"/>
      <c r="V104" s="265"/>
      <c r="W104" s="1"/>
    </row>
    <row r="105" spans="1:24" s="13" customFormat="1" ht="33.75" customHeight="1" x14ac:dyDescent="0.2">
      <c r="A105" s="210" t="s">
        <v>74</v>
      </c>
      <c r="B105" s="211" t="s">
        <v>107</v>
      </c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3"/>
      <c r="N105" s="214">
        <f>O105/85</f>
        <v>34192.941176470587</v>
      </c>
      <c r="O105" s="215">
        <v>2906400</v>
      </c>
      <c r="P105" s="211"/>
      <c r="Q105" s="216"/>
      <c r="R105" s="290" t="s">
        <v>203</v>
      </c>
      <c r="S105" s="291"/>
      <c r="T105" s="291"/>
      <c r="U105" s="292"/>
      <c r="V105" s="265"/>
      <c r="W105" s="1"/>
      <c r="X105" s="1"/>
    </row>
    <row r="106" spans="1:24" s="13" customFormat="1" ht="24.95" customHeight="1" x14ac:dyDescent="0.2">
      <c r="A106" s="210" t="s">
        <v>75</v>
      </c>
      <c r="B106" s="211" t="s">
        <v>108</v>
      </c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7"/>
      <c r="N106" s="211">
        <f>O106/1500</f>
        <v>6.666666666666667</v>
      </c>
      <c r="O106" s="218">
        <v>10000</v>
      </c>
      <c r="P106" s="211"/>
      <c r="Q106" s="216"/>
      <c r="R106" s="211"/>
      <c r="S106" s="211"/>
      <c r="T106" s="211"/>
      <c r="U106" s="216"/>
      <c r="V106" s="265"/>
      <c r="W106" s="1"/>
      <c r="X106" s="1"/>
    </row>
    <row r="107" spans="1:24" s="13" customFormat="1" ht="24.95" customHeight="1" x14ac:dyDescent="0.2">
      <c r="A107" s="219" t="s">
        <v>109</v>
      </c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7"/>
      <c r="N107" s="211"/>
      <c r="O107" s="220">
        <f>SUM(O105:O106)</f>
        <v>2916400</v>
      </c>
      <c r="P107" s="211"/>
      <c r="Q107" s="216"/>
      <c r="R107" s="211"/>
      <c r="S107" s="211"/>
      <c r="T107" s="211"/>
      <c r="U107" s="216"/>
      <c r="V107" s="265"/>
      <c r="W107" s="1"/>
      <c r="X107" s="1"/>
    </row>
    <row r="108" spans="1:24" s="13" customFormat="1" ht="24.95" customHeight="1" thickBot="1" x14ac:dyDescent="0.25">
      <c r="A108" s="221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129"/>
      <c r="N108" s="97"/>
      <c r="O108" s="129"/>
      <c r="P108" s="97"/>
      <c r="Q108" s="100"/>
      <c r="R108" s="97"/>
      <c r="S108" s="97"/>
      <c r="T108" s="97"/>
      <c r="U108" s="100"/>
      <c r="V108" s="265"/>
      <c r="W108" s="1"/>
      <c r="X108" s="1"/>
    </row>
    <row r="109" spans="1:24" s="13" customFormat="1" ht="24.95" customHeight="1" thickBot="1" x14ac:dyDescent="0.25">
      <c r="A109" s="222" t="s">
        <v>114</v>
      </c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4"/>
      <c r="N109" s="223"/>
      <c r="O109" s="90">
        <f>SUM(O96,O102,O107)</f>
        <v>3567637.48</v>
      </c>
      <c r="P109" s="223"/>
      <c r="Q109" s="225"/>
      <c r="R109" s="223"/>
      <c r="S109" s="223"/>
      <c r="T109" s="223"/>
      <c r="U109" s="225"/>
      <c r="V109" s="264"/>
      <c r="W109" s="12"/>
    </row>
    <row r="110" spans="1:24" s="13" customFormat="1" ht="54.75" customHeight="1" thickBot="1" x14ac:dyDescent="0.25">
      <c r="A110" s="226" t="s">
        <v>191</v>
      </c>
      <c r="B110" s="227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8"/>
      <c r="N110" s="227"/>
      <c r="O110" s="90">
        <f>O109-SUM(O50,O56,O58,O75,O76,O82,O83,O84,O88,O89,O90,O91,O93,O105)</f>
        <v>532497.48</v>
      </c>
      <c r="P110" s="227"/>
      <c r="Q110" s="229"/>
      <c r="R110" s="269" t="s">
        <v>172</v>
      </c>
      <c r="S110" s="270"/>
      <c r="T110" s="270"/>
      <c r="U110" s="271"/>
      <c r="V110" s="264"/>
      <c r="W110" s="12"/>
    </row>
    <row r="111" spans="1:24" s="13" customFormat="1" ht="22.5" customHeight="1" thickBot="1" x14ac:dyDescent="0.25">
      <c r="A111" s="226"/>
      <c r="B111" s="227"/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8"/>
      <c r="N111" s="227"/>
      <c r="O111" s="230"/>
      <c r="P111" s="231" t="s">
        <v>168</v>
      </c>
      <c r="Q111" s="229"/>
      <c r="R111" s="232"/>
      <c r="S111" s="227"/>
      <c r="T111" s="227"/>
      <c r="U111" s="229"/>
      <c r="V111" s="264"/>
      <c r="W111" s="12"/>
    </row>
    <row r="112" spans="1:24" s="13" customFormat="1" ht="54.75" customHeight="1" thickBot="1" x14ac:dyDescent="0.25">
      <c r="A112" s="226" t="s">
        <v>167</v>
      </c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8"/>
      <c r="N112" s="227"/>
      <c r="O112" s="90">
        <f>SUM(O59,O85)</f>
        <v>282240</v>
      </c>
      <c r="P112" s="233">
        <f>(O112/O109)</f>
        <v>7.9111176957362833E-2</v>
      </c>
      <c r="Q112" s="259"/>
      <c r="R112" s="232"/>
      <c r="S112" s="227"/>
      <c r="T112" s="227"/>
      <c r="U112" s="225"/>
      <c r="V112" s="264"/>
      <c r="W112" s="12"/>
    </row>
    <row r="113" spans="1:24" s="13" customFormat="1" ht="24.95" customHeight="1" thickBot="1" x14ac:dyDescent="0.25">
      <c r="A113" s="234" t="s">
        <v>120</v>
      </c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6"/>
      <c r="N113" s="235"/>
      <c r="O113" s="237">
        <f>O35</f>
        <v>3904617.48</v>
      </c>
      <c r="P113" s="235"/>
      <c r="Q113" s="238"/>
      <c r="R113" s="235"/>
      <c r="S113" s="235"/>
      <c r="T113" s="235"/>
      <c r="U113" s="238"/>
      <c r="V113" s="264"/>
      <c r="W113" s="12"/>
    </row>
    <row r="114" spans="1:24" s="13" customFormat="1" ht="24.95" customHeight="1" x14ac:dyDescent="0.2">
      <c r="A114" s="190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191"/>
      <c r="P114" s="97"/>
      <c r="Q114" s="100"/>
      <c r="R114" s="97"/>
      <c r="S114" s="97"/>
      <c r="T114" s="97"/>
      <c r="U114" s="100"/>
      <c r="V114" s="264"/>
      <c r="W114" s="12"/>
      <c r="X114" s="1"/>
    </row>
    <row r="115" spans="1:24" s="13" customFormat="1" ht="15" customHeight="1" x14ac:dyDescent="0.25">
      <c r="A115" s="239" t="s">
        <v>39</v>
      </c>
      <c r="B115" s="240"/>
      <c r="C115" s="241" t="s">
        <v>166</v>
      </c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2"/>
      <c r="R115" s="240"/>
      <c r="S115" s="240"/>
      <c r="T115" s="240"/>
      <c r="U115" s="242"/>
      <c r="V115" s="264"/>
      <c r="W115" s="12"/>
      <c r="X115" s="1"/>
    </row>
    <row r="116" spans="1:24" s="13" customFormat="1" ht="15.75" x14ac:dyDescent="0.25">
      <c r="A116" s="239"/>
      <c r="B116" s="240"/>
      <c r="C116" s="243" t="s">
        <v>134</v>
      </c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2"/>
      <c r="R116" s="240"/>
      <c r="S116" s="240"/>
      <c r="T116" s="240"/>
      <c r="U116" s="242"/>
      <c r="V116" s="264"/>
      <c r="W116" s="12"/>
      <c r="X116" s="1"/>
    </row>
    <row r="117" spans="1:24" s="13" customFormat="1" x14ac:dyDescent="0.2">
      <c r="A117" s="244"/>
      <c r="B117" s="240"/>
      <c r="C117" s="245" t="s">
        <v>146</v>
      </c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2"/>
      <c r="R117" s="240"/>
      <c r="S117" s="240"/>
      <c r="T117" s="240"/>
      <c r="U117" s="242"/>
      <c r="V117" s="264"/>
      <c r="W117" s="12"/>
      <c r="X117" s="1"/>
    </row>
    <row r="118" spans="1:24" s="13" customFormat="1" ht="15.75" thickBot="1" x14ac:dyDescent="0.25">
      <c r="A118" s="244"/>
      <c r="B118" s="240"/>
      <c r="C118" s="245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2"/>
      <c r="R118" s="240"/>
      <c r="S118" s="240"/>
      <c r="T118" s="240"/>
      <c r="U118" s="242"/>
      <c r="V118" s="264"/>
      <c r="W118" s="12"/>
      <c r="X118" s="1"/>
    </row>
    <row r="119" spans="1:24" s="13" customFormat="1" ht="42.75" x14ac:dyDescent="0.2">
      <c r="A119" s="244"/>
      <c r="B119" s="240"/>
      <c r="C119" s="314" t="s">
        <v>147</v>
      </c>
      <c r="D119" s="315"/>
      <c r="E119" s="315"/>
      <c r="F119" s="315"/>
      <c r="G119" s="315"/>
      <c r="H119" s="315"/>
      <c r="I119" s="315"/>
      <c r="J119" s="315"/>
      <c r="K119" s="315"/>
      <c r="L119" s="246" t="s">
        <v>36</v>
      </c>
      <c r="M119" s="247" t="s">
        <v>37</v>
      </c>
      <c r="N119" s="248" t="s">
        <v>38</v>
      </c>
      <c r="O119" s="240"/>
      <c r="P119" s="240"/>
      <c r="Q119" s="242"/>
      <c r="R119" s="240"/>
      <c r="S119" s="240"/>
      <c r="T119" s="240"/>
      <c r="U119" s="242"/>
      <c r="V119" s="264"/>
      <c r="W119" s="12"/>
      <c r="X119" s="1"/>
    </row>
    <row r="120" spans="1:24" s="13" customFormat="1" ht="24.75" customHeight="1" thickBot="1" x14ac:dyDescent="0.25">
      <c r="A120" s="244"/>
      <c r="B120" s="240"/>
      <c r="C120" s="316"/>
      <c r="D120" s="317"/>
      <c r="E120" s="317"/>
      <c r="F120" s="317"/>
      <c r="G120" s="317"/>
      <c r="H120" s="317"/>
      <c r="I120" s="317"/>
      <c r="J120" s="317"/>
      <c r="K120" s="317"/>
      <c r="L120" s="249">
        <f>N7</f>
        <v>354.99831999999998</v>
      </c>
      <c r="M120" s="254">
        <v>6</v>
      </c>
      <c r="N120" s="250">
        <f>(L120*M120)</f>
        <v>2129.98992</v>
      </c>
      <c r="O120" s="240"/>
      <c r="P120" s="240"/>
      <c r="Q120" s="242"/>
      <c r="R120" s="240"/>
      <c r="S120" s="240"/>
      <c r="T120" s="240"/>
      <c r="U120" s="242"/>
      <c r="V120" s="264"/>
      <c r="W120" s="12"/>
      <c r="X120" s="1"/>
    </row>
    <row r="121" spans="1:24" s="13" customFormat="1" ht="15.75" customHeight="1" x14ac:dyDescent="0.2">
      <c r="A121" s="244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311" t="s">
        <v>200</v>
      </c>
      <c r="M121" s="312"/>
      <c r="N121" s="312"/>
      <c r="O121" s="240"/>
      <c r="P121" s="240"/>
      <c r="Q121" s="242"/>
      <c r="R121" s="240"/>
      <c r="S121" s="240"/>
      <c r="T121" s="240"/>
      <c r="U121" s="242"/>
      <c r="V121" s="264"/>
      <c r="W121" s="12"/>
      <c r="X121" s="1"/>
    </row>
    <row r="122" spans="1:24" s="13" customFormat="1" ht="31.5" customHeight="1" thickBot="1" x14ac:dyDescent="0.25">
      <c r="A122" s="251"/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313"/>
      <c r="M122" s="313"/>
      <c r="N122" s="313"/>
      <c r="O122" s="252"/>
      <c r="P122" s="252"/>
      <c r="Q122" s="253"/>
      <c r="R122" s="252"/>
      <c r="S122" s="252"/>
      <c r="T122" s="252"/>
      <c r="U122" s="253"/>
      <c r="V122" s="264"/>
      <c r="W122" s="12"/>
      <c r="X122" s="1"/>
    </row>
    <row r="123" spans="1:24" s="13" customForma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s="13" customForma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s="13" customForma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s="13" customForma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2">
      <c r="C127" s="3"/>
    </row>
  </sheetData>
  <mergeCells count="36">
    <mergeCell ref="R10:U10"/>
    <mergeCell ref="R11:U11"/>
    <mergeCell ref="R45:R46"/>
    <mergeCell ref="A1:U1"/>
    <mergeCell ref="R34:U35"/>
    <mergeCell ref="B3:K3"/>
    <mergeCell ref="L3:M3"/>
    <mergeCell ref="R24:U24"/>
    <mergeCell ref="R31:U31"/>
    <mergeCell ref="R29:U30"/>
    <mergeCell ref="A29:A30"/>
    <mergeCell ref="B38:M38"/>
    <mergeCell ref="C62:M62"/>
    <mergeCell ref="B73:M73"/>
    <mergeCell ref="C88:M88"/>
    <mergeCell ref="C91:M91"/>
    <mergeCell ref="L121:N122"/>
    <mergeCell ref="C119:K120"/>
    <mergeCell ref="C67:M67"/>
    <mergeCell ref="B101:M101"/>
    <mergeCell ref="R110:U110"/>
    <mergeCell ref="C50:M50"/>
    <mergeCell ref="N29:Q29"/>
    <mergeCell ref="B29:K30"/>
    <mergeCell ref="R94:U94"/>
    <mergeCell ref="R96:U96"/>
    <mergeCell ref="R58:U58"/>
    <mergeCell ref="R93:U93"/>
    <mergeCell ref="R105:U105"/>
    <mergeCell ref="C63:M63"/>
    <mergeCell ref="C89:M89"/>
    <mergeCell ref="B31:K31"/>
    <mergeCell ref="R63:U63"/>
    <mergeCell ref="R56:U56"/>
    <mergeCell ref="R44:U44"/>
    <mergeCell ref="C68:M68"/>
  </mergeCells>
  <printOptions horizontalCentered="1"/>
  <pageMargins left="0.39370078740157483" right="0.39370078740157483" top="0.35433070866141736" bottom="0.3937007874015748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Вадим</cp:lastModifiedBy>
  <cp:lastPrinted>2014-11-30T11:09:12Z</cp:lastPrinted>
  <dcterms:created xsi:type="dcterms:W3CDTF">2013-10-18T09:22:44Z</dcterms:created>
  <dcterms:modified xsi:type="dcterms:W3CDTF">2016-04-20T09:31:23Z</dcterms:modified>
</cp:coreProperties>
</file>